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570" windowWidth="9135" windowHeight="4485" tabRatio="621"/>
  </bookViews>
  <sheets>
    <sheet name="CRONOGRAMA" sheetId="30" r:id="rId1"/>
    <sheet name="PLANILHA ORÇAMENTÁRIA" sheetId="29" r:id="rId2"/>
    <sheet name="COMPOSIÇÃO" sheetId="32" r:id="rId3"/>
    <sheet name="BDI" sheetId="34" r:id="rId4"/>
  </sheets>
  <definedNames>
    <definedName name="_xlnm.Print_Area" localSheetId="3">BDI!$A$1:$G$33</definedName>
    <definedName name="_xlnm.Print_Area" localSheetId="2">COMPOSIÇÃO!$A$1:$K$258</definedName>
    <definedName name="_xlnm.Print_Area" localSheetId="0">CRONOGRAMA!$A$1:$P$49</definedName>
    <definedName name="_xlnm.Print_Area" localSheetId="1">'PLANILHA ORÇAMENTÁRIA'!$A$1:$J$91</definedName>
    <definedName name="_xlnm.Print_Titles" localSheetId="3">BDI!$1:$8</definedName>
    <definedName name="_xlnm.Print_Titles" localSheetId="2">COMPOSIÇÃO!$8:$9</definedName>
    <definedName name="_xlnm.Print_Titles" localSheetId="0">CRONOGRAMA!$A:$C,CRONOGRAMA!$1:$8</definedName>
    <definedName name="_xlnm.Print_Titles" localSheetId="1">'PLANILHA ORÇAMENTÁRIA'!$7:$8</definedName>
  </definedNames>
  <calcPr calcId="125725" iterateDelta="1E-4"/>
</workbook>
</file>

<file path=xl/calcChain.xml><?xml version="1.0" encoding="utf-8"?>
<calcChain xmlns="http://schemas.openxmlformats.org/spreadsheetml/2006/main">
  <c r="D29" i="30"/>
  <c r="E29"/>
  <c r="F29"/>
  <c r="G29"/>
  <c r="H29"/>
  <c r="I29"/>
  <c r="J29"/>
  <c r="K29"/>
  <c r="L29"/>
  <c r="M29"/>
  <c r="N29"/>
  <c r="O29"/>
  <c r="O26" l="1"/>
  <c r="N26"/>
  <c r="M26"/>
  <c r="L26"/>
  <c r="K26"/>
  <c r="J26"/>
  <c r="O23"/>
  <c r="N23"/>
  <c r="M23"/>
  <c r="L23"/>
  <c r="K23"/>
  <c r="J23"/>
  <c r="O20"/>
  <c r="N20"/>
  <c r="M20"/>
  <c r="L20"/>
  <c r="K20"/>
  <c r="J20"/>
  <c r="O17"/>
  <c r="N17"/>
  <c r="M17"/>
  <c r="L17"/>
  <c r="K17"/>
  <c r="J17"/>
  <c r="O14"/>
  <c r="N14"/>
  <c r="M14"/>
  <c r="L14"/>
  <c r="K14"/>
  <c r="J14"/>
  <c r="O9"/>
  <c r="N9"/>
  <c r="M9"/>
  <c r="L9"/>
  <c r="K9"/>
  <c r="J9"/>
  <c r="B40"/>
  <c r="B13"/>
  <c r="I27" i="32"/>
  <c r="J93"/>
  <c r="J122"/>
  <c r="J126"/>
  <c r="J236"/>
  <c r="I257"/>
  <c r="I256"/>
  <c r="L192"/>
  <c r="L200"/>
  <c r="H87" i="29"/>
  <c r="E87"/>
  <c r="D87"/>
  <c r="C87"/>
  <c r="H86"/>
  <c r="G86"/>
  <c r="E86"/>
  <c r="D86"/>
  <c r="C86"/>
  <c r="H85"/>
  <c r="E85"/>
  <c r="D85"/>
  <c r="C85"/>
  <c r="E84"/>
  <c r="D84"/>
  <c r="C84"/>
  <c r="J255" i="32"/>
  <c r="J254"/>
  <c r="J253"/>
  <c r="C79" i="29"/>
  <c r="D79"/>
  <c r="E79"/>
  <c r="I250" i="32"/>
  <c r="I249"/>
  <c r="J248"/>
  <c r="J247"/>
  <c r="I244"/>
  <c r="J232"/>
  <c r="J86" i="29" l="1"/>
  <c r="I86"/>
  <c r="J246" i="32"/>
  <c r="J252"/>
  <c r="H79" i="29" s="1"/>
  <c r="I252" i="32"/>
  <c r="K252"/>
  <c r="I246"/>
  <c r="K246" s="1"/>
  <c r="G79" i="29" l="1"/>
  <c r="I79" s="1"/>
  <c r="G87"/>
  <c r="J79" l="1"/>
  <c r="I87"/>
  <c r="J87"/>
  <c r="I193" i="32" l="1"/>
  <c r="J192"/>
  <c r="I200"/>
  <c r="J199"/>
  <c r="O226"/>
  <c r="I194"/>
  <c r="J191"/>
  <c r="N190"/>
  <c r="M190"/>
  <c r="L190"/>
  <c r="J190"/>
  <c r="I189" l="1"/>
  <c r="J189"/>
  <c r="M191"/>
  <c r="K189" l="1"/>
  <c r="N197"/>
  <c r="N183"/>
  <c r="M186"/>
  <c r="M183"/>
  <c r="L183"/>
  <c r="O191" l="1"/>
  <c r="O183"/>
  <c r="M197"/>
  <c r="L197"/>
  <c r="M198" l="1"/>
  <c r="O197"/>
  <c r="M182"/>
  <c r="L182"/>
  <c r="N182" l="1"/>
  <c r="O182" s="1"/>
  <c r="O184" s="1"/>
  <c r="B37" i="30"/>
  <c r="B36"/>
  <c r="B32"/>
  <c r="B29"/>
  <c r="B26"/>
  <c r="B23"/>
  <c r="B20"/>
  <c r="B17"/>
  <c r="B14"/>
  <c r="J205" i="32" l="1"/>
  <c r="J204"/>
  <c r="I243"/>
  <c r="I242"/>
  <c r="I241"/>
  <c r="I240"/>
  <c r="I234"/>
  <c r="I226"/>
  <c r="I221"/>
  <c r="I216"/>
  <c r="I211"/>
  <c r="I206"/>
  <c r="I201"/>
  <c r="I182"/>
  <c r="I187"/>
  <c r="I186"/>
  <c r="I179"/>
  <c r="I178"/>
  <c r="I173"/>
  <c r="I172"/>
  <c r="I167"/>
  <c r="I166"/>
  <c r="I161"/>
  <c r="I160"/>
  <c r="I155"/>
  <c r="I154"/>
  <c r="I149"/>
  <c r="I148"/>
  <c r="I143"/>
  <c r="I142"/>
  <c r="I137"/>
  <c r="I136"/>
  <c r="I131"/>
  <c r="I130"/>
  <c r="I129"/>
  <c r="I124"/>
  <c r="I120"/>
  <c r="I114"/>
  <c r="I108"/>
  <c r="I103"/>
  <c r="I102"/>
  <c r="I101"/>
  <c r="I100"/>
  <c r="I99"/>
  <c r="I98"/>
  <c r="I97"/>
  <c r="I96"/>
  <c r="I91"/>
  <c r="I90"/>
  <c r="I85"/>
  <c r="I84"/>
  <c r="I79"/>
  <c r="I74"/>
  <c r="I69"/>
  <c r="I62"/>
  <c r="I59"/>
  <c r="I54"/>
  <c r="I49"/>
  <c r="I44"/>
  <c r="I43"/>
  <c r="I42"/>
  <c r="I28"/>
  <c r="I25"/>
  <c r="I24"/>
  <c r="I23"/>
  <c r="I22"/>
  <c r="I21"/>
  <c r="I14"/>
  <c r="J239"/>
  <c r="J238"/>
  <c r="J237"/>
  <c r="J233"/>
  <c r="J231"/>
  <c r="J225"/>
  <c r="J224"/>
  <c r="J220"/>
  <c r="J219"/>
  <c r="J215"/>
  <c r="J214"/>
  <c r="J210"/>
  <c r="J209"/>
  <c r="J198"/>
  <c r="J197"/>
  <c r="J185"/>
  <c r="J184"/>
  <c r="J183"/>
  <c r="J177"/>
  <c r="J176"/>
  <c r="J171"/>
  <c r="J170"/>
  <c r="J165"/>
  <c r="J164"/>
  <c r="J159"/>
  <c r="J158"/>
  <c r="J153"/>
  <c r="J152"/>
  <c r="J147"/>
  <c r="J146"/>
  <c r="J141"/>
  <c r="J140"/>
  <c r="J135"/>
  <c r="J134"/>
  <c r="J128"/>
  <c r="J127"/>
  <c r="J123"/>
  <c r="J119"/>
  <c r="J118"/>
  <c r="J117"/>
  <c r="J113"/>
  <c r="J112"/>
  <c r="J111"/>
  <c r="J107"/>
  <c r="J106"/>
  <c r="J95"/>
  <c r="J94"/>
  <c r="J89"/>
  <c r="J88"/>
  <c r="J83"/>
  <c r="J82"/>
  <c r="J78"/>
  <c r="J77"/>
  <c r="J73"/>
  <c r="J72"/>
  <c r="J68"/>
  <c r="J67"/>
  <c r="J64"/>
  <c r="J63"/>
  <c r="J58"/>
  <c r="J57"/>
  <c r="J53"/>
  <c r="J52"/>
  <c r="J48"/>
  <c r="J47"/>
  <c r="J41"/>
  <c r="J38"/>
  <c r="J35"/>
  <c r="J20"/>
  <c r="J19"/>
  <c r="J16"/>
  <c r="J15"/>
  <c r="J14"/>
  <c r="J11"/>
  <c r="I236" l="1"/>
  <c r="G85" i="29" s="1"/>
  <c r="K20"/>
  <c r="E78"/>
  <c r="D78"/>
  <c r="C78"/>
  <c r="E77"/>
  <c r="D77"/>
  <c r="C77"/>
  <c r="E76"/>
  <c r="D76"/>
  <c r="C76"/>
  <c r="C14"/>
  <c r="D14"/>
  <c r="E14"/>
  <c r="C12"/>
  <c r="D12"/>
  <c r="E12"/>
  <c r="I46" i="32"/>
  <c r="G26" i="29" s="1"/>
  <c r="C26"/>
  <c r="D26"/>
  <c r="E26"/>
  <c r="F30" i="32"/>
  <c r="J30" s="1"/>
  <c r="F29"/>
  <c r="I85" i="29" l="1"/>
  <c r="J85"/>
  <c r="I29" i="32"/>
  <c r="G14" i="29" s="1"/>
  <c r="H78"/>
  <c r="G78"/>
  <c r="G77"/>
  <c r="J46" i="32"/>
  <c r="H26" i="29" s="1"/>
  <c r="J27" i="32"/>
  <c r="H14" i="29" s="1"/>
  <c r="J14" l="1"/>
  <c r="K46" i="32"/>
  <c r="K236"/>
  <c r="H77" i="29"/>
  <c r="I14"/>
  <c r="I26"/>
  <c r="J26"/>
  <c r="K27" i="32"/>
  <c r="I203" l="1"/>
  <c r="I218"/>
  <c r="I208"/>
  <c r="C67" i="29"/>
  <c r="D67"/>
  <c r="E67"/>
  <c r="C68"/>
  <c r="D68"/>
  <c r="E68"/>
  <c r="C69"/>
  <c r="D69"/>
  <c r="E69"/>
  <c r="C70"/>
  <c r="D70"/>
  <c r="E70"/>
  <c r="C62"/>
  <c r="D62"/>
  <c r="E62"/>
  <c r="D25"/>
  <c r="L25"/>
  <c r="K25"/>
  <c r="E40"/>
  <c r="D40"/>
  <c r="C40"/>
  <c r="I116" i="32"/>
  <c r="C44" i="29"/>
  <c r="D44"/>
  <c r="E44"/>
  <c r="C55"/>
  <c r="D55"/>
  <c r="E55"/>
  <c r="C56"/>
  <c r="D56"/>
  <c r="E56"/>
  <c r="I87" i="32" l="1"/>
  <c r="J218"/>
  <c r="K218" s="1"/>
  <c r="J87"/>
  <c r="N25" i="29"/>
  <c r="G67"/>
  <c r="G69"/>
  <c r="I169" i="32"/>
  <c r="J203"/>
  <c r="K203" s="1"/>
  <c r="J208"/>
  <c r="I175"/>
  <c r="J116"/>
  <c r="K116" s="1"/>
  <c r="J163"/>
  <c r="J175"/>
  <c r="J169"/>
  <c r="I163"/>
  <c r="K87" l="1"/>
  <c r="H69" i="29"/>
  <c r="J69" s="1"/>
  <c r="H55"/>
  <c r="G56"/>
  <c r="J77"/>
  <c r="I77"/>
  <c r="K208" i="32"/>
  <c r="H67" i="29"/>
  <c r="K169" i="32"/>
  <c r="H56" i="29"/>
  <c r="K175" i="32"/>
  <c r="K163"/>
  <c r="G55" i="29"/>
  <c r="I69" l="1"/>
  <c r="J55"/>
  <c r="I67"/>
  <c r="J67"/>
  <c r="I55"/>
  <c r="J56"/>
  <c r="I56"/>
  <c r="J230" i="32" l="1"/>
  <c r="I230"/>
  <c r="G76" i="29" l="1"/>
  <c r="G84"/>
  <c r="H76"/>
  <c r="H84"/>
  <c r="K230" i="32"/>
  <c r="J76" i="29" l="1"/>
  <c r="I76"/>
  <c r="J84"/>
  <c r="J88" s="1"/>
  <c r="I84"/>
  <c r="L20"/>
  <c r="K88" l="1"/>
  <c r="P40" i="30"/>
  <c r="I61" i="32"/>
  <c r="N40" i="30" l="1"/>
  <c r="J40"/>
  <c r="O40"/>
  <c r="K40"/>
  <c r="L40"/>
  <c r="M40"/>
  <c r="J61" i="32"/>
  <c r="M61" s="1"/>
  <c r="K61" l="1"/>
  <c r="L187" l="1"/>
  <c r="I213"/>
  <c r="K66" i="29"/>
  <c r="I122" i="32"/>
  <c r="G44" i="29" s="1"/>
  <c r="I110" i="32"/>
  <c r="I105"/>
  <c r="E35" i="29"/>
  <c r="D35"/>
  <c r="C35"/>
  <c r="I76" i="32"/>
  <c r="I71"/>
  <c r="I66"/>
  <c r="I56"/>
  <c r="I51"/>
  <c r="J37"/>
  <c r="I37"/>
  <c r="J34"/>
  <c r="I34"/>
  <c r="G68" i="29" l="1"/>
  <c r="I93" i="32"/>
  <c r="I151"/>
  <c r="G35" i="29"/>
  <c r="J213" i="32"/>
  <c r="J151"/>
  <c r="J66"/>
  <c r="H40" i="29"/>
  <c r="I145" i="32"/>
  <c r="I157"/>
  <c r="J139"/>
  <c r="J145"/>
  <c r="I133"/>
  <c r="I139"/>
  <c r="J157"/>
  <c r="J81"/>
  <c r="J133"/>
  <c r="G40" i="29"/>
  <c r="J110" i="32"/>
  <c r="H44" i="29" s="1"/>
  <c r="I126" i="32"/>
  <c r="I81"/>
  <c r="J105"/>
  <c r="K122"/>
  <c r="J76"/>
  <c r="J71"/>
  <c r="J51"/>
  <c r="J56"/>
  <c r="I40"/>
  <c r="K37"/>
  <c r="J40"/>
  <c r="K34"/>
  <c r="I196"/>
  <c r="G62" i="29" s="1"/>
  <c r="E61"/>
  <c r="D61"/>
  <c r="C61"/>
  <c r="E32"/>
  <c r="D32"/>
  <c r="C32"/>
  <c r="E34"/>
  <c r="D34"/>
  <c r="C34"/>
  <c r="E33"/>
  <c r="D33"/>
  <c r="C33"/>
  <c r="I78" l="1"/>
  <c r="J78"/>
  <c r="J44"/>
  <c r="I44"/>
  <c r="J40"/>
  <c r="I40"/>
  <c r="K213" i="32"/>
  <c r="H68" i="29"/>
  <c r="K66" i="32"/>
  <c r="K76"/>
  <c r="K126"/>
  <c r="K56"/>
  <c r="K110"/>
  <c r="K151"/>
  <c r="K51"/>
  <c r="K93"/>
  <c r="K105"/>
  <c r="K133"/>
  <c r="K145"/>
  <c r="K81"/>
  <c r="K157"/>
  <c r="K139"/>
  <c r="K71"/>
  <c r="H35" i="29"/>
  <c r="K40" i="32"/>
  <c r="J196"/>
  <c r="H62" i="29" s="1"/>
  <c r="F40" i="30" l="1"/>
  <c r="I40"/>
  <c r="H40"/>
  <c r="G40"/>
  <c r="E40"/>
  <c r="D40"/>
  <c r="I62" i="29"/>
  <c r="J62"/>
  <c r="I68"/>
  <c r="J68"/>
  <c r="K196" i="32"/>
  <c r="I35" i="29"/>
  <c r="J35"/>
  <c r="G33" l="1"/>
  <c r="H33"/>
  <c r="J33" l="1"/>
  <c r="I33"/>
  <c r="E31" l="1"/>
  <c r="D31"/>
  <c r="C31"/>
  <c r="E30"/>
  <c r="D30"/>
  <c r="C30"/>
  <c r="E60"/>
  <c r="D60"/>
  <c r="C60"/>
  <c r="J181" i="32" l="1"/>
  <c r="G61" i="29"/>
  <c r="I181" i="32"/>
  <c r="H61" i="29"/>
  <c r="J61" l="1"/>
  <c r="I61"/>
  <c r="K181" i="32"/>
  <c r="G60" i="29"/>
  <c r="H60"/>
  <c r="E47"/>
  <c r="D47"/>
  <c r="C47"/>
  <c r="E46"/>
  <c r="D46"/>
  <c r="C46"/>
  <c r="E43"/>
  <c r="D43"/>
  <c r="C43"/>
  <c r="E42"/>
  <c r="D42"/>
  <c r="C42"/>
  <c r="E41"/>
  <c r="D41"/>
  <c r="C41"/>
  <c r="H47" l="1"/>
  <c r="G47"/>
  <c r="H46"/>
  <c r="G46"/>
  <c r="G34" l="1"/>
  <c r="J47"/>
  <c r="I47"/>
  <c r="I46"/>
  <c r="J46"/>
  <c r="H34" l="1"/>
  <c r="J34" l="1"/>
  <c r="I34"/>
  <c r="E66"/>
  <c r="D66"/>
  <c r="C66"/>
  <c r="E54"/>
  <c r="D54"/>
  <c r="C54"/>
  <c r="E53"/>
  <c r="D53"/>
  <c r="C53"/>
  <c r="E52"/>
  <c r="D52"/>
  <c r="C52"/>
  <c r="E51"/>
  <c r="D51"/>
  <c r="C51"/>
  <c r="E45"/>
  <c r="D45"/>
  <c r="C45"/>
  <c r="E39"/>
  <c r="D39"/>
  <c r="C39"/>
  <c r="E25"/>
  <c r="C25"/>
  <c r="E21"/>
  <c r="D21"/>
  <c r="C21"/>
  <c r="E20"/>
  <c r="D20"/>
  <c r="C20"/>
  <c r="D13" l="1"/>
  <c r="D11"/>
  <c r="I223" i="32" l="1"/>
  <c r="G70" i="29" l="1"/>
  <c r="J223" i="32"/>
  <c r="H70" i="29" l="1"/>
  <c r="I70" s="1"/>
  <c r="J80"/>
  <c r="K223" i="32"/>
  <c r="P37" i="30" l="1"/>
  <c r="L37" s="1"/>
  <c r="K80" i="29"/>
  <c r="O37" i="30"/>
  <c r="H37"/>
  <c r="J70" i="29"/>
  <c r="G51"/>
  <c r="G66"/>
  <c r="H66"/>
  <c r="H52"/>
  <c r="H54"/>
  <c r="H45"/>
  <c r="G53"/>
  <c r="H51"/>
  <c r="G52"/>
  <c r="G45"/>
  <c r="G54"/>
  <c r="H53"/>
  <c r="M37" i="30" l="1"/>
  <c r="N37"/>
  <c r="K37"/>
  <c r="J37"/>
  <c r="I37"/>
  <c r="G37"/>
  <c r="E37"/>
  <c r="F37"/>
  <c r="D37"/>
  <c r="I66" i="29"/>
  <c r="J66"/>
  <c r="J71" s="1"/>
  <c r="J51"/>
  <c r="I51"/>
  <c r="J53"/>
  <c r="I53"/>
  <c r="J54"/>
  <c r="I54"/>
  <c r="J52"/>
  <c r="I52"/>
  <c r="J45"/>
  <c r="I45"/>
  <c r="P32" i="30" l="1"/>
  <c r="K71" i="29"/>
  <c r="I32" i="30"/>
  <c r="H32"/>
  <c r="J57" i="29"/>
  <c r="P26" i="30" s="1"/>
  <c r="E32"/>
  <c r="F32"/>
  <c r="L32" l="1"/>
  <c r="L44" s="1"/>
  <c r="L46" s="1"/>
  <c r="M32"/>
  <c r="M44" s="1"/>
  <c r="M46" s="1"/>
  <c r="N32"/>
  <c r="N44" s="1"/>
  <c r="N46" s="1"/>
  <c r="J32"/>
  <c r="J44" s="1"/>
  <c r="J46" s="1"/>
  <c r="O32"/>
  <c r="O44" s="1"/>
  <c r="O46" s="1"/>
  <c r="K32"/>
  <c r="K44" s="1"/>
  <c r="K46" s="1"/>
  <c r="L71" i="29"/>
  <c r="K72"/>
  <c r="D32" i="30"/>
  <c r="G32"/>
  <c r="I26"/>
  <c r="H26"/>
  <c r="G26"/>
  <c r="E26"/>
  <c r="F26"/>
  <c r="D26"/>
  <c r="G42" i="29" l="1"/>
  <c r="G43"/>
  <c r="G41"/>
  <c r="H41"/>
  <c r="H43"/>
  <c r="H42"/>
  <c r="J42" l="1"/>
  <c r="I42"/>
  <c r="J41"/>
  <c r="I41"/>
  <c r="J43"/>
  <c r="I43"/>
  <c r="H39" l="1"/>
  <c r="G39"/>
  <c r="C13"/>
  <c r="E13"/>
  <c r="G30" l="1"/>
  <c r="I39"/>
  <c r="J39"/>
  <c r="J48" s="1"/>
  <c r="P23" i="30" s="1"/>
  <c r="H32" i="29"/>
  <c r="G32"/>
  <c r="J18" i="32"/>
  <c r="I18"/>
  <c r="G13" i="29" s="1"/>
  <c r="J32" l="1"/>
  <c r="I32"/>
  <c r="H13"/>
  <c r="I13" s="1"/>
  <c r="K18" i="32"/>
  <c r="G31" i="29"/>
  <c r="H30"/>
  <c r="G21"/>
  <c r="G20"/>
  <c r="H21"/>
  <c r="H20"/>
  <c r="H23" i="30" l="1"/>
  <c r="G23"/>
  <c r="I23"/>
  <c r="E23"/>
  <c r="D23"/>
  <c r="F23"/>
  <c r="J13" i="29"/>
  <c r="H31"/>
  <c r="J30"/>
  <c r="I30"/>
  <c r="H25"/>
  <c r="G25"/>
  <c r="J21"/>
  <c r="I21"/>
  <c r="I20"/>
  <c r="J20"/>
  <c r="J22" l="1"/>
  <c r="P14" i="30" s="1"/>
  <c r="J25" i="29"/>
  <c r="I25"/>
  <c r="I31"/>
  <c r="J31"/>
  <c r="J36" s="1"/>
  <c r="P20" i="30" l="1"/>
  <c r="F20" s="1"/>
  <c r="I14"/>
  <c r="H14"/>
  <c r="G14"/>
  <c r="J27" i="29"/>
  <c r="P17" i="30" s="1"/>
  <c r="E14"/>
  <c r="F14"/>
  <c r="D14"/>
  <c r="E11" i="29"/>
  <c r="C11"/>
  <c r="E20" i="30" l="1"/>
  <c r="H20"/>
  <c r="I20"/>
  <c r="G20"/>
  <c r="D20"/>
  <c r="D17"/>
  <c r="I17"/>
  <c r="H17"/>
  <c r="G17"/>
  <c r="E17"/>
  <c r="F17"/>
  <c r="J60" i="29" l="1"/>
  <c r="J63" s="1"/>
  <c r="P29" i="30" s="1"/>
  <c r="I60" i="29"/>
  <c r="B9" i="30" l="1"/>
  <c r="E19" i="34"/>
  <c r="E11"/>
  <c r="G19"/>
  <c r="F19"/>
  <c r="D19"/>
  <c r="C19"/>
  <c r="F11"/>
  <c r="C11"/>
  <c r="E20" l="1"/>
  <c r="H90" i="29" s="1"/>
  <c r="J10" i="32"/>
  <c r="H11" i="29" s="1"/>
  <c r="I10" i="32"/>
  <c r="G11" i="29" s="1"/>
  <c r="I11" l="1"/>
  <c r="K10" i="32"/>
  <c r="I13"/>
  <c r="G12" i="29" l="1"/>
  <c r="J11"/>
  <c r="J13" i="32"/>
  <c r="K13" l="1"/>
  <c r="H12" i="29"/>
  <c r="J12" l="1"/>
  <c r="I12"/>
  <c r="J15" l="1"/>
  <c r="J89" s="1"/>
  <c r="P9" i="30" l="1"/>
  <c r="P44" s="1"/>
  <c r="M15" i="29"/>
  <c r="K15"/>
  <c r="L15" s="1"/>
  <c r="D9" i="30" l="1"/>
  <c r="I9"/>
  <c r="I44" s="1"/>
  <c r="H9"/>
  <c r="H44" s="1"/>
  <c r="G9"/>
  <c r="G44" s="1"/>
  <c r="F9"/>
  <c r="F44" s="1"/>
  <c r="E9"/>
  <c r="E44" s="1"/>
  <c r="D44" l="1"/>
  <c r="D46" s="1"/>
  <c r="I46"/>
  <c r="G46"/>
  <c r="H46"/>
  <c r="J90" i="29"/>
  <c r="J91" l="1"/>
  <c r="P45" i="30"/>
  <c r="E46"/>
  <c r="F46"/>
  <c r="K94" i="29" l="1"/>
  <c r="L91"/>
  <c r="P46" i="30"/>
  <c r="N48" l="1"/>
  <c r="J48"/>
  <c r="M48"/>
  <c r="K48"/>
  <c r="L48"/>
  <c r="O48"/>
  <c r="G48"/>
  <c r="H48"/>
  <c r="I48"/>
  <c r="D47"/>
  <c r="E47" s="1"/>
  <c r="F47" s="1"/>
  <c r="G47" s="1"/>
  <c r="H47" s="1"/>
  <c r="I47" s="1"/>
  <c r="J47" s="1"/>
  <c r="K47" s="1"/>
  <c r="L47" s="1"/>
  <c r="M47" s="1"/>
  <c r="N47" s="1"/>
  <c r="O47" s="1"/>
  <c r="D48"/>
  <c r="D49" s="1"/>
  <c r="E48" l="1"/>
  <c r="E49" s="1"/>
  <c r="F48"/>
  <c r="F49" l="1"/>
  <c r="G49" s="1"/>
  <c r="H49" s="1"/>
  <c r="I49" s="1"/>
  <c r="J49" s="1"/>
  <c r="K49" s="1"/>
  <c r="L49" s="1"/>
  <c r="M49" s="1"/>
  <c r="N49" s="1"/>
  <c r="O49" s="1"/>
</calcChain>
</file>

<file path=xl/sharedStrings.xml><?xml version="1.0" encoding="utf-8"?>
<sst xmlns="http://schemas.openxmlformats.org/spreadsheetml/2006/main" count="1024" uniqueCount="361">
  <si>
    <t>Und</t>
  </si>
  <si>
    <t>M</t>
  </si>
  <si>
    <t>COMPOSIÇÃO DO BDI</t>
  </si>
  <si>
    <t>%</t>
  </si>
  <si>
    <t>TOTAL</t>
  </si>
  <si>
    <t>Ítem</t>
  </si>
  <si>
    <t>SINAPI/ COMP.</t>
  </si>
  <si>
    <t>Quant</t>
  </si>
  <si>
    <t>Total</t>
  </si>
  <si>
    <t>SERVIÇOS PRELIMINARES</t>
  </si>
  <si>
    <t>1.1</t>
  </si>
  <si>
    <t>SUB TOTAL</t>
  </si>
  <si>
    <t>30dias</t>
  </si>
  <si>
    <t>60dias</t>
  </si>
  <si>
    <t>DESEMBOLSO ACUMULADO</t>
  </si>
  <si>
    <t>PERCENTUAL MENSAL ( % )</t>
  </si>
  <si>
    <t>PERCENTUAL ACUMULADO ( % )</t>
  </si>
  <si>
    <t>H</t>
  </si>
  <si>
    <t>SERT</t>
  </si>
  <si>
    <t>UN</t>
  </si>
  <si>
    <t/>
  </si>
  <si>
    <t>COMPOSICAO</t>
  </si>
  <si>
    <t>CHP</t>
  </si>
  <si>
    <t>SERVENTE COM ENCARGOS COMPLEMENTARES</t>
  </si>
  <si>
    <t>AUXILIAR DE ELETRICISTA COM ENCARGOS COMPLEMENTARES</t>
  </si>
  <si>
    <t>ELETRICISTA COM ENCARGOS COMPLEMENTARES</t>
  </si>
  <si>
    <t>INSUMO</t>
  </si>
  <si>
    <t>INEL</t>
  </si>
  <si>
    <t>MOBILIZACAO E DESMOBILIZAÇÃO DE 01 EQUIPAMENTO CAMINHÃO MUNCK COM CESTO AÉREO, DISTANCIA DE 10KM ATE 20KM</t>
  </si>
  <si>
    <t>COTAÇÃO</t>
  </si>
  <si>
    <t>2.1</t>
  </si>
  <si>
    <t>Material</t>
  </si>
  <si>
    <t>Mão de Obra</t>
  </si>
  <si>
    <t>ART - ANOTAÇÃO DE RESPONSABILIDADE TÉCNICA</t>
  </si>
  <si>
    <t>x</t>
  </si>
  <si>
    <t>2.2</t>
  </si>
  <si>
    <t>Acórdão nº 2622/2013-TCU-Plenário e Leis 2.715 de 17 de setembro de 2012 e 12.844, de 19 de julho de 2013.</t>
  </si>
  <si>
    <t>Comp.</t>
  </si>
  <si>
    <t>Variável</t>
  </si>
  <si>
    <t>Componente</t>
  </si>
  <si>
    <t>Taxa Mínima(%)</t>
  </si>
  <si>
    <t>Taxa(%)</t>
  </si>
  <si>
    <t>Taxa    Máxima (%)</t>
  </si>
  <si>
    <t>Garantia</t>
  </si>
  <si>
    <t>Risco</t>
  </si>
  <si>
    <t>R</t>
  </si>
  <si>
    <t>GARANTIA/RISCO/SEGURO</t>
  </si>
  <si>
    <t>DF</t>
  </si>
  <si>
    <t>DESPESAS FINANCEIRAS</t>
  </si>
  <si>
    <t>AC</t>
  </si>
  <si>
    <t>ADMINISTRAÇÃO CENTRAL</t>
  </si>
  <si>
    <t>L</t>
  </si>
  <si>
    <t>LUCRO</t>
  </si>
  <si>
    <t>Arrecadação de Tributos</t>
  </si>
  <si>
    <t>Sim</t>
  </si>
  <si>
    <t>Não</t>
  </si>
  <si>
    <t>PIS</t>
  </si>
  <si>
    <t>COFINS</t>
  </si>
  <si>
    <t>ISSQN</t>
  </si>
  <si>
    <t>I</t>
  </si>
  <si>
    <t>TRIBUTOS</t>
  </si>
  <si>
    <t>Benefícios e Despesas Indiretas (BDI)</t>
  </si>
  <si>
    <t>Onde:</t>
  </si>
  <si>
    <t>UN.</t>
  </si>
  <si>
    <t>88264</t>
  </si>
  <si>
    <t>88247</t>
  </si>
  <si>
    <t>88316</t>
  </si>
  <si>
    <t>ANOTAÇÃO DE RESPONSABILIDADE TÉCNICA COM VALOR DE CONTRATO ACIMA DE R$15.000,00</t>
  </si>
  <si>
    <t>MOTORISTA OPERADOR DE MUNCK COM ENCARGOS COMPLEMENTARES</t>
  </si>
  <si>
    <t>21127</t>
  </si>
  <si>
    <t>FITA ISOLANTE ADESIVA ANTICHAMA, USO ATE 750 V, EM ROLO DE 19 MM X 5 M</t>
  </si>
  <si>
    <t>90dias</t>
  </si>
  <si>
    <t xml:space="preserve">COTAÇÃO </t>
  </si>
  <si>
    <t>COMÉRCIO</t>
  </si>
  <si>
    <t>TOTAL DAS OBRAS  SEM BDI:</t>
  </si>
  <si>
    <t>TOTAL GERAL DAS OBRAS COM BDI</t>
  </si>
  <si>
    <t>Referência</t>
  </si>
  <si>
    <t>Cóigos</t>
  </si>
  <si>
    <t>Especificações</t>
  </si>
  <si>
    <t>Unidade</t>
  </si>
  <si>
    <t>Coef</t>
  </si>
  <si>
    <t>V. Unit</t>
  </si>
  <si>
    <t>Materiais</t>
  </si>
  <si>
    <t>M. de Obra</t>
  </si>
  <si>
    <t>COMPOSIÇÃO UNITÁRIA DE PREÇOS</t>
  </si>
  <si>
    <t>Especificação</t>
  </si>
  <si>
    <t>M³</t>
  </si>
  <si>
    <t>88309</t>
  </si>
  <si>
    <t>PEDREIRO COM ENCARGOS COMPLEMENTARES</t>
  </si>
  <si>
    <t>SERVIÇOS EM TERRA</t>
  </si>
  <si>
    <t>MOVT</t>
  </si>
  <si>
    <t>93358</t>
  </si>
  <si>
    <t>M3</t>
  </si>
  <si>
    <t>CONCRETO/ALVENARIA</t>
  </si>
  <si>
    <t>94990</t>
  </si>
  <si>
    <t>EXECUÇÃO DE PASSEIO (CALÇADA) COM CONCRETO MOLDADO IN LOCO, FEITO EM OBRA, ACABAMENTO CONVENCIONAL, NÃO ARMADO. AF_07/2016</t>
  </si>
  <si>
    <t>88262</t>
  </si>
  <si>
    <t>CARPINTEIRO DE FORMAS COM ENCARGOS COMPLEMENTARES</t>
  </si>
  <si>
    <t>ESTRUTURAS E DUTOS</t>
  </si>
  <si>
    <t>COMERCIO</t>
  </si>
  <si>
    <t>LEROY MERLIN</t>
  </si>
  <si>
    <t>CAIXA DE PASSAGEM 30X30X40 COM TAMPA E DRENO BRITA</t>
  </si>
  <si>
    <t>KG</t>
  </si>
  <si>
    <t>M2</t>
  </si>
  <si>
    <t>CANT</t>
  </si>
  <si>
    <t>PLACA DE OBRA EM CHAPA DE ACO GALVANIZADO</t>
  </si>
  <si>
    <t>94962</t>
  </si>
  <si>
    <t>CONCRETO MAGRO PARA LASTRO, TRAÇO 1:4,5:4,5 (CIMENTO/ AREIA MÉDIA/ BRITA 1)  - PREPARO MECÂNICO COM BETONEIRA 400 L. AF_07/2016</t>
  </si>
  <si>
    <t>4417</t>
  </si>
  <si>
    <t>SARRAFO DE MADEIRA NAO APARELHADA *2,5 X 7* CM, MACARANDUBA, ANGELIM OU EQUIVALENTE DA REGIAO</t>
  </si>
  <si>
    <t>4491</t>
  </si>
  <si>
    <t>PECA DE MADEIRA NATIVA / REGIONAL 7,5 X 7,5CM (3X3) NAO APARELHADA (P/FORMA)</t>
  </si>
  <si>
    <t>4813</t>
  </si>
  <si>
    <t>PLACA DE OBRA (PARA CONSTRUCAO CIVIL) EM CHAPA GALVANIZADA *N. 22*, DE *2,0 X 1,125* M</t>
  </si>
  <si>
    <t>5075</t>
  </si>
  <si>
    <t>PREGO DE ACO POLIDO COM CABECA 18 X 30 (2 3/4 X 10)</t>
  </si>
  <si>
    <t>1.3</t>
  </si>
  <si>
    <t>Custo   Serv.</t>
  </si>
  <si>
    <t>CUSTO</t>
  </si>
  <si>
    <t>ELÉTRICA - DISJUNTORES, QUADROS E CONTATORES</t>
  </si>
  <si>
    <t>TERMINAL A COMPRESSAO EM COBRE ESTANHADO PARA CABO 4 MM2, 1 FURO E 1 COMPRESSAO, PARA PARAFUSO DE FIXACAO M5</t>
  </si>
  <si>
    <t>ELETROTÉCNICO COM ENCARGOS COMPLEMENTARES</t>
  </si>
  <si>
    <t>COMPOSIÇÃO</t>
  </si>
  <si>
    <t>88266</t>
  </si>
  <si>
    <t>91929</t>
  </si>
  <si>
    <t>1021</t>
  </si>
  <si>
    <t>CABO DE COBRE, FLEXIVEL, CLASSE 4 OU 5, ISOLACAO EM PVC/A, ANTICHAMA BWF-B, COBERTURA PVC-ST1, ANTICHAMA BWF-B, 1 CONDUTOR, 0,6/1 KV, SECAO NOMINAL 4 MM2</t>
  </si>
  <si>
    <t>91931</t>
  </si>
  <si>
    <t>CABO DE COBRE FLEXÍVEL ISOLADO, 6 MM², ANTI-CHAMA 0,6/1,0 KV, PARA CIRCUITOS TERMINAIS - FORNECIMENTO E INSTALAÇÃO. AF_12/2015</t>
  </si>
  <si>
    <t>994</t>
  </si>
  <si>
    <t>CABO DE COBRE, FLEXIVEL, CLASSE 4 OU 5, ISOLACAO EM PVC/A, ANTICHAMA BWF-B, COBERTURA PVC-ST1, ANTICHAMA BWF-B, 1 CONDUTOR, 0,6/1 KV, SECAO NOMINAL 6 MM2</t>
  </si>
  <si>
    <t>91933</t>
  </si>
  <si>
    <t>CABO DE COBRE FLEXÍVEL ISOLADO, 10 MM², ANTI-CHAMA 0,6/1,0 KV, PARA CIRCUITOS TERMINAIS - FORNECIMENTO E INSTALAÇÃO. AF_12/2015</t>
  </si>
  <si>
    <t>1020</t>
  </si>
  <si>
    <t>CABO DE COBRE ISOLAMENTO ANTI-CHAMA 0,6/1KV 10MM2 (1 CONDUTOR) TP SINTENAX   PIRELLI OU EQUIV</t>
  </si>
  <si>
    <t>ELÉTRICA - POSTES DE ILUMINAÇÃO E LUMINÁRIAS</t>
  </si>
  <si>
    <t>ELÉTRICA - DIVERSOS</t>
  </si>
  <si>
    <t>FITA ISOLANTE DE BORRACHA AUTOFUSAO, USO ATE 69 KV (ALTA TENSAO) - FORNECIMENTO E APLICAÇÃO</t>
  </si>
  <si>
    <t xml:space="preserve">FITA ISOLANTE DE BORRACHA AUTOFUSAO, USO ATE 69 KV (ALTA TENSAO) </t>
  </si>
  <si>
    <t>ADMT</t>
  </si>
  <si>
    <t>PLANILHA ORÇAMENTÁRIA</t>
  </si>
  <si>
    <t>8.1</t>
  </si>
  <si>
    <t>8.2</t>
  </si>
  <si>
    <t>INHI</t>
  </si>
  <si>
    <t>AUXILIAR DE ENCANADOR OU BOMBEIRO HIDRÁULICO COM ENCARGOS COMPLEMENTARES</t>
  </si>
  <si>
    <t>ENCANADOR OU BOMBEIRO HIDRÁULICO COM ENCARGOS COMPLEMENTARES</t>
  </si>
  <si>
    <t>OK</t>
  </si>
  <si>
    <t>BASE PARA FUSIVEIS NH-00 DE 6A A 160A</t>
  </si>
  <si>
    <t>BASE PARA FUSÍVEL TIPO NH - TAMANHO 00 - FORNECIMENTO E INSTALACAO</t>
  </si>
  <si>
    <t>TERMINAL A COMPRESSAO EM COBRE ESTANHADO PARA CABO 10 MM2, 1 FURO E 1 COMPRESSAO, PARA PARAFUSO DE FIXACAO M6</t>
  </si>
  <si>
    <t xml:space="preserve">COMÉRCIO </t>
  </si>
  <si>
    <t>PARAFUSO AUTOBROCANTE CABEÇA FLANGEADA 4,2X13MM</t>
  </si>
  <si>
    <t xml:space="preserve">QUADRO 500-400-200  CEMAR, MORATORI, STECK OU SIMILAR </t>
  </si>
  <si>
    <t>PARAF LATAO SX RI 3/8 X 1 1/4"</t>
  </si>
  <si>
    <t>PORCA LATAO SX 3/8"</t>
  </si>
  <si>
    <t>ARRUELA LISA LATAO 3/8"</t>
  </si>
  <si>
    <t>ARRUELA PRESSAO ZB 3/8"</t>
  </si>
  <si>
    <t>CINTA CIRCULAR EM CHAPA DE AÇO GALVANIZADA Nº 240</t>
  </si>
  <si>
    <t>RELE FOTOELETRICO P/ COMANDO DE ILUMINACAO EXTERNA 220V/1000W COM BASE - FORNECIMENTO E INSTALACAO</t>
  </si>
  <si>
    <t>RELE FOTOELETRICO/ELETRÔNICO 1000W/220V</t>
  </si>
  <si>
    <t>DISJUNTOR TRIPOLAR TIPO DIN, CORRENTE NOMINAL DE 40A - FORNECIMENTO E INSTALAÇÃO. AF_04/2016</t>
  </si>
  <si>
    <t>8.3</t>
  </si>
  <si>
    <t>QUADRO DE DISTRIBUICAO DE ENERGIA DE SOBREPOR, EM CHAPA METÁLICA, NAS DIMENSÕES 500X400X200MM - FORNECIMENTO E INSTALAÇÃO.</t>
  </si>
  <si>
    <t>TOTAL SERVIÇOS PRELIMINARES</t>
  </si>
  <si>
    <t>88248</t>
  </si>
  <si>
    <t>88267</t>
  </si>
  <si>
    <t>TRILHO GALVANIZADO TS35 PARA DISJUNTORES 2 METROS PERFURADO</t>
  </si>
  <si>
    <t xml:space="preserve">COMPOSIÇÃOREF: 73769/003 </t>
  </si>
  <si>
    <t xml:space="preserve">COMPOSIÇÃO REF: 91836 </t>
  </si>
  <si>
    <t xml:space="preserve">COMPOSIÇÃO REF: 93653 </t>
  </si>
  <si>
    <t xml:space="preserve">DISJUNTOR MONOPOLAR TIPO DIN, CORRENTE NOMINAL DE 2A -  FORNECIMENTO E INSTALAÇÃO. </t>
  </si>
  <si>
    <t>DISJUNTOR TIPO DIN/IEC, MONOPOLAR DE 2A</t>
  </si>
  <si>
    <t>https://www.gimawa.com/produto/base-rele-fotoeletrico-009951-ilumatic-brm-1</t>
  </si>
  <si>
    <t>BASE PARA INSTALAÇÃO DE RELÉ FOTOELÉTRICO TIPO BRM1</t>
  </si>
  <si>
    <t>COMPOSIÇÃO REF: 83399</t>
  </si>
  <si>
    <t xml:space="preserve">COMPOSIÇÃO REF: 74231/001 </t>
  </si>
  <si>
    <t>TOTAIS SEM BDI</t>
  </si>
  <si>
    <t xml:space="preserve">DESEMBOLSO MENSAL COM BDI </t>
  </si>
  <si>
    <t xml:space="preserve">COMPOSIÇÃO REF.: 72872 </t>
  </si>
  <si>
    <t>74209/001</t>
  </si>
  <si>
    <t>GUINDAUTO HIDRÁULICO, CAPACIDADE MÁXIMA DE CARGA 3300 KG, MOMENTO MÁXIMO DE CARGA 5,8 TM, ALCANCE MÁXIMO HORIZONTAL 7,60 M, INCLUSIVE CAMINHÃO TOCO PBT 16.000 KG, POTÊNCIA DE 189 CV - CHP DIURNO. AF_03/2016</t>
  </si>
  <si>
    <t>TERMINAL OU CONECTOR DE PRESSAO - PARA CABO 10MM2 - FORNECIMENTO E INSTALACAO</t>
  </si>
  <si>
    <t>TERMINAL METALICO A PRESSAO PARA 1 CABO DE 6 A 10 MM2, COM 1 FURO DE FIXACAO</t>
  </si>
  <si>
    <t>3.1</t>
  </si>
  <si>
    <t>4.1</t>
  </si>
  <si>
    <t>4.2</t>
  </si>
  <si>
    <t>4.3</t>
  </si>
  <si>
    <t>4.4</t>
  </si>
  <si>
    <t>4.5</t>
  </si>
  <si>
    <t>4.6</t>
  </si>
  <si>
    <t>5.1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</si>
  <si>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</si>
  <si>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</si>
  <si>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</si>
  <si>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</si>
  <si>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</si>
  <si>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</si>
  <si>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</si>
  <si>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</si>
  <si>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</si>
  <si>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7.1</t>
  </si>
  <si>
    <t>7.2</t>
  </si>
  <si>
    <t xml:space="preserve">COMPOSIÇÃO </t>
  </si>
  <si>
    <r>
      <t>AC</t>
    </r>
    <r>
      <rPr>
        <sz val="10"/>
        <rFont val="Times New Roman"/>
        <family val="1"/>
      </rPr>
      <t xml:space="preserve"> = taxa de rateio da Administração central;</t>
    </r>
  </si>
  <si>
    <r>
      <t>DF</t>
    </r>
    <r>
      <rPr>
        <sz val="10"/>
        <rFont val="Times New Roman"/>
        <family val="1"/>
      </rPr>
      <t xml:space="preserve"> = taxa das despesas financeiras;</t>
    </r>
  </si>
  <si>
    <r>
      <t>R</t>
    </r>
    <r>
      <rPr>
        <sz val="10"/>
        <rFont val="Times New Roman"/>
        <family val="1"/>
      </rPr>
      <t xml:space="preserve"> = taxa de risco, seguro e garantia do empreendimento;</t>
    </r>
  </si>
  <si>
    <r>
      <t>I</t>
    </r>
    <r>
      <rPr>
        <sz val="10"/>
        <rFont val="Times New Roman"/>
        <family val="1"/>
      </rPr>
      <t xml:space="preserve"> = taxa de tributos; e,</t>
    </r>
  </si>
  <si>
    <r>
      <t>L</t>
    </r>
    <r>
      <rPr>
        <sz val="10"/>
        <rFont val="Times New Roman"/>
        <family val="1"/>
      </rPr>
      <t xml:space="preserve"> = taxa de lucro.</t>
    </r>
  </si>
  <si>
    <t>COMPOSIÇÃO REF.: 83446</t>
  </si>
  <si>
    <t>73964/006</t>
  </si>
  <si>
    <t>REATERRO DE VALA COM COMPACTAÇÃO MANUAL</t>
  </si>
  <si>
    <t>CABO DE COBRE FLEXÍVEL MULTIPOLAR 0,6/1KV, TIPO PP, 3X2,5 MM</t>
  </si>
  <si>
    <t xml:space="preserve">CABO DE COBRE FLEXÍVEL MULTIPOLAR COLORIDO 0,6/1KV , TIPO PP, 3X2,5 MM² - FORNECIMENTO E INSTALAÇÃO. </t>
  </si>
  <si>
    <t>COMPOSIÇÃO REF: 91929</t>
  </si>
  <si>
    <t>AREIA MEDIA - POSTO JAZIDA/FORNECEDOR (RETIRADO NA JAZIDA, SEM TRANSPORTE)</t>
  </si>
  <si>
    <t>1379</t>
  </si>
  <si>
    <t>CIMENTO PORTLAND COMPOSTO CP II-32</t>
  </si>
  <si>
    <t>4721</t>
  </si>
  <si>
    <t>PEDRA BRITADA N. 1 (9,5 a 19 MM) POSTO PEDREIRA/FORNECEDOR, SEM FRETE</t>
  </si>
  <si>
    <t>FUES</t>
  </si>
  <si>
    <t>CONCRETO FCK = 15MPA, TRAÇO 1:3,4:3,5 (CIMENTO/ AREIA MÉDIA/ BRITA 1) - PREPARO MANUAL. AF_07/2016 (PARA TRAVESSIAS E BASES DOS POSTES)</t>
  </si>
  <si>
    <t>5.8</t>
  </si>
  <si>
    <t>5.9</t>
  </si>
  <si>
    <t>TERMINAL BOX RETO EM ALUMÍNIO FUNDIDO 1 1/4"</t>
  </si>
  <si>
    <t>CONTATOR TRIPOLAR, CORRENTE DE *22* A, TENSAO NOMINAL DE *500* V, CATEGORIA AC-2 E AC-3</t>
  </si>
  <si>
    <t>CONTATOR TRIPOLAR I NOMINAL 22A - FORNECIMENTO E INSTALACAO INCLUSIVE ELETROTÉCNICO</t>
  </si>
  <si>
    <t>CAMINHÃO CARRETA 5 EIXOS, INCLUSIVE CARROCERIA FIXA ABERTA DE MADEIRA P/ TRANSPORTE GERAL DE CARGA SECA, DIMEN. APROX. 2,5 X 12,00 X 1,50M</t>
  </si>
  <si>
    <t xml:space="preserve">74157/004 </t>
  </si>
  <si>
    <t>LANCAMENTO/APLICACAO MANUAL DE CONCRETO EM FUNDACOES</t>
  </si>
  <si>
    <t>90586</t>
  </si>
  <si>
    <t>VIBRADOR DE IMERSÃO, DIÂMETRO DE PONTEIRA 45MM, MOTOR ELÉTRICO TRIFÁSICO POTÊNCIA DE 2 CV - CHP DIURNO. AF_06/2015</t>
  </si>
  <si>
    <t>ENCARREGADO GERAL COM ENCARGOS COMPLEMENTARES</t>
  </si>
  <si>
    <t>91634</t>
  </si>
  <si>
    <t>GUINDAUTO HIDRÁULICO, CAPACIDADE MÁXIMA DE CARGA 6500 KG, MOMENTO MÁXIMO DE CARGA 5,8 TM, ALCANCE MÁXIMO HORIZONTAL 7,60 M, INCLUSIVE CAMINHÃO TOCO PBT 9.700 KG, POTÊNCIA DE 160 CV - CHP DIURNO. AF_08/2015</t>
  </si>
  <si>
    <t>POSTE CONCRETO CIRCULAR 11M 1000DAN Pç 2 1,894.00 3,788.00</t>
  </si>
  <si>
    <t>2 POSTE CONCRETO CIRCULAR 11M 600DAN Pç 3 1,295.00 3,885.00</t>
  </si>
  <si>
    <t>3 POSTE CONCRETO CIRCULAR 11M 300DAN Pç 10 808.00 8,080.00</t>
  </si>
  <si>
    <t>4 POSTE CONCRETO CIRCULAR 9M 600DAN Pç 11 960.00 10,560.00</t>
  </si>
  <si>
    <t>5 POSTE CONCRETO CIRCULAR 9M 300DAN Pç 1 572.00 572.00</t>
  </si>
  <si>
    <t xml:space="preserve">V. Unit </t>
  </si>
  <si>
    <t>CABO DE COBRE FLEXÍVEL ISOLADO, 16 MM², ANTI-CHAMA 0,6/1,0 KV, PARA CIRCUITOS TERMINAIS - FORNECIMENTO E INSTALAÇÃO. AF_12/2015</t>
  </si>
  <si>
    <t>CABO DE COBRE, FLEXIVEL, CLASSE 4 OU 5, ISOLACAO EM PVC/A, ANTICHAMA BWF-B, COBERTURA PVC-ST1, ANTICHAMA BWF-B, 1 CONDUTOR, 0,6/1 KV, SECAO NOMINAL 16 MM2</t>
  </si>
  <si>
    <t>CABO DE COBRE FLEXÍVEL ISOLADO, 25 MM², ANTI-CHAMA 0,6/1,0 KV, PARA CIRCUITOS TERMINAIS - FORNECIMENTO E INSTALAÇÃO. AF_12/2015</t>
  </si>
  <si>
    <t>CABO DE COBRE, FLEXIVEL, CLASSE 4 OU 5, ISOLACAO EM PVC/A, ANTICHAMA BWF-B, COBERTURA PVC-ST1, ANTICHAMA BWF-B, 1 CONDUTOR, 0,6/1 KV, SECAO NOMINAL 25 MM2</t>
  </si>
  <si>
    <t>CABO DE COBRE FLEXÍVEL ISOLADO, 35 MM², ANTI-CHAMA 0,6/1,0 KV, PARA CIRCUITOS TERMINAIS - FORNECIMENTO E INSTALAÇÃO. AF_12/2015</t>
  </si>
  <si>
    <t>CABO DE COBRE, FLEXIVEL, CLASSE 4 OU 5, ISOLACAO EM PVC/A, ANTICHAMA BWF-B, COBERTURA PVC-ST1, ANTICHAMA BWF-B, 1 CONDUTOR, 0,6/1 KV, SECAO NOMINAL 35 MM2</t>
  </si>
  <si>
    <t>6.5</t>
  </si>
  <si>
    <t>6.6</t>
  </si>
  <si>
    <t>CABO DE COBRE FLEXÍVEL ISOLADO, 4 MM², ANTI-CHAMA 0,6/1,0 KV, PARA CIRCUITOS TERMINAIS - FORNECIMENTO E INSTALAÇÃO. AF_12/2015 (cor verde para aterramento)</t>
  </si>
  <si>
    <t>CONTATOR TRIPOLAR, CORRENTE DE *38* A, TENSAO NOMINAL DE *500* V, CATEGORIA AC-2 E AC-3</t>
  </si>
  <si>
    <t>CONTATOR TRIPOLAR I NOMINAL 36A - FORNECIMENTO E INSTALACAO INCLUSIVE ELETROTÉCNICO</t>
  </si>
  <si>
    <t>5.10</t>
  </si>
  <si>
    <t>FUSÍVEL TIPO NH 30A - TAMANHO 00 - FORNECIMENTO E INSTALACAO</t>
  </si>
  <si>
    <t>FUSIVEL NH 30 A TAMANHO 00, CAPACIDADE DE INTERRUPCAO DE 120 KA, TENSAO NOMIMNAL DE 500 V</t>
  </si>
  <si>
    <t>93672</t>
  </si>
  <si>
    <t>DISJUNTOR TIPO DIN/IEC, TRIPOLAR DE 10 ATE 50A</t>
  </si>
  <si>
    <t>7.3</t>
  </si>
  <si>
    <t>8.4</t>
  </si>
  <si>
    <t>8.5</t>
  </si>
  <si>
    <t>CONECTOR PARAFUSO FENDIDO SPLIT-BOLT - PARA CABO DE 16MM2 - FORNECIMENTO E INSTALAÇÃO</t>
  </si>
  <si>
    <t>CONECTOR METALICO TIPO PARAFUSO FENDIDO (SPLIT BOLT), PARA CABOS ATE 16 MM2</t>
  </si>
  <si>
    <t>CONECTOR PARAFUSO FENDIDO SPLIT-BOLT - PARA CABO DE 35MM2 - FORNECIMENTO E INSTALAÇÃO</t>
  </si>
  <si>
    <t>CONECTOR METALICO TIPO PARAFUSO FENDIDO (SPLIT BOLT), PARA CABOS ATE 35 MM2</t>
  </si>
  <si>
    <t>TERMINAL OU CONECTOR DE PRESSAO - PARA CABO 16MM2 - FORNECIMENTO E INSTALACAO</t>
  </si>
  <si>
    <t>TERMINAL METALICO A PRESSAO PARA 1 CABO DE 16 MM2, COM 1 FURO DE FIXACAO</t>
  </si>
  <si>
    <t>SERP</t>
  </si>
  <si>
    <t>73847/001</t>
  </si>
  <si>
    <t>ESTADIA DE EQUIPE/EQUIPAMENTOS, CONSIDERANDO COMO RFERÊNCIA O ALUGUEL CONTAINER/ESCRIT INCL INST ELET LARG=2,20 COMP=6,20M, ALT=2,50M CHAPA ACO C/NERV TRAPEZ FORRO C/ISOL TERMO/ACUSTICO CHASSIS REFORC PISO COMPENS NAVAL EXC TRANSP/CARGA/DESCARGA</t>
  </si>
  <si>
    <t>MÊS</t>
  </si>
  <si>
    <t>ALUGUEL CONTAINER/ESCRIT INCL INST ELET LARG=2,20 COMP=6,20M, ALT=2,50M CHAPA ACO C/NERV TRAPEZ FORRO C/ISOL TERMO/ACUSTICO CHASSIS REFORC PISO COMPENS NAVAL EXC TRANSP/CARGA/DESCARGA</t>
  </si>
  <si>
    <t>MOTORISTA DE CAMINHÃO COM ENCARGOS COMPLEMENTARES</t>
  </si>
  <si>
    <t>1.5</t>
  </si>
  <si>
    <t>3.2</t>
  </si>
  <si>
    <t>9.1</t>
  </si>
  <si>
    <t>9.2</t>
  </si>
  <si>
    <t>9.3</t>
  </si>
  <si>
    <t>9.4</t>
  </si>
  <si>
    <t>ESCAVAÇÃO MANUAL DE VALAS. AF_03/2016 (VALA PARA TUBULAÇÃO E ATERRAMENTO DO TRANSFORMADOR)</t>
  </si>
  <si>
    <t>COMPOSIÇÃO REF: 93008</t>
  </si>
  <si>
    <t>TUBO DE AÇO GALVANIZADO COM COSTURA, CLASSE MÉDIA, DN 40 (1 1/2"), CONEXÃO ROSQUEADA, INSTALADO EM REDE DE ALIMENTAÇÃO PARA HIDRANTE - FORNECIMENTO E INSTALAÇÃO. AF_12/2015</t>
  </si>
  <si>
    <t>TUBO ACO GALV C/ COSTURA DIN 2440/NBR 5580 CLASSE MEDIA DN 1.1/2" (40MM) E=3,25MM - 3,61KG/M</t>
  </si>
  <si>
    <t>CURVA 90 GRAUS, PVC, ROSCÁVEL, DN 50MM (11/2") - FORNECIMENTO E INSTALAÇÃO.</t>
  </si>
  <si>
    <t>CURVA 90 GRAUS, LONGA, DE PVC RIGIDO ROSCAVEL, DE 1 1/2", PARA ELETRODUTO</t>
  </si>
  <si>
    <t>COMPOSIÇÃO REF.: 91896</t>
  </si>
  <si>
    <t>LUVA EM PVC RIGIDO ROSCAVEL, DE 1 1/2", PARA ELETRODUTO</t>
  </si>
  <si>
    <t>LUVA PARA ELETRODUTO, PVC, ROSCÁVEL, DN 50 MM (1 1/2") - FORNECIMENTO E INSTALAÇÃO.</t>
  </si>
  <si>
    <t>COMPOSIÇÃO REF.: 83394</t>
  </si>
  <si>
    <t>10.1</t>
  </si>
  <si>
    <t>10.2</t>
  </si>
  <si>
    <t>10.3</t>
  </si>
  <si>
    <t>10.4</t>
  </si>
  <si>
    <t>CREA-MT</t>
  </si>
  <si>
    <t>BASE DE PREÇO SINAPI-MT-05/2017</t>
  </si>
  <si>
    <t>ELETRODUTO PEAD FLEXIVEL CORRUGADO, COR PRETA, SEM ROSCA, DE 1 1/2", PARA CABEAMENTO SUBTERRANEO (NBR 15715)</t>
  </si>
  <si>
    <t>ELETRODUTO PEAD FLEXÍVEL CORRUGADO, COR PRETA, DN 50 MM (11/2"), PARA CABEAMENTO SUBTERRÂNEO   (NBR 15715) - FORNECIMENTO E INSTALAÇÃO.</t>
  </si>
  <si>
    <t>ELETRODUTO PVC FLEXÍVEL CORRUGADO, DN 32 MM (1"), PARA CIRCUITOS TERMINAIS, INSTALADO EM SOLO - FORNECIMENTO E INSTALAÇÃO.</t>
  </si>
  <si>
    <t>ELETRODUTO PVC FLEXIVEL CORRUGADO, REFORCADO, COR LARANJA, DE 32 MM, PARA CABEAMENTO SUBTERRÂNEO</t>
  </si>
  <si>
    <t>HASTE DE ATERRAMENTO EM ACO COM 3,00 M DE COMPRIMENTO E DN = 5/8", REVESTIDA COM BAIXA CAMADA DE COBRE, COM CONECTOR CUNHA TRANSVERSAL HASTE/CABO</t>
  </si>
  <si>
    <t>HASTE DE ATERRAMENTO EM ACO COM 3,00 M DE COMPRIMENTO E DN = 5/8", REVESTIDA COM BAIXA CAMADA DE COBRE, COM CONECTOR CUNHA TRANSVERSAL HASTE/CABO - FORNECIMENTO E INSTALAÇÃO</t>
  </si>
  <si>
    <t>http://www.lojaeletrica.com.br/base-nh-690v-160a-fusivel-t00000-3nh3-030-c-siemens,product,2300203320072,dept,0.aspx</t>
  </si>
  <si>
    <t>https://www.lojacasadosreles.com.br/Rele-foto-eletrico-ILUMATIC-RM74-1000W/prod-616467/</t>
  </si>
  <si>
    <t>http://www.cigame.com.br/cabo-de-cobre-epr-flexivel-1kv-3x2-5/p</t>
  </si>
  <si>
    <t xml:space="preserve">ELÉTRICA - FIOS E CABOS </t>
  </si>
  <si>
    <t>120dias</t>
  </si>
  <si>
    <t>150dias</t>
  </si>
  <si>
    <t>180dias</t>
  </si>
  <si>
    <t>METALSINTER</t>
  </si>
  <si>
    <t>FORTLIGHT</t>
  </si>
  <si>
    <t>CONIPOST</t>
  </si>
  <si>
    <t>OSRAM 90W</t>
  </si>
  <si>
    <t>ILUMATIC 100W</t>
  </si>
  <si>
    <t>BENEFÍCIOS DE DESPESAS INDIRETAS - ( B.D.I.: 25,00 %)</t>
  </si>
  <si>
    <t>CUSTO UNITÁRIO</t>
  </si>
  <si>
    <t>Total Unit. (R$)</t>
  </si>
  <si>
    <t>COMPOSIÇÃO REF.: 73847/001</t>
  </si>
  <si>
    <t>COMPOSIÇÃO REF.: 68069</t>
  </si>
  <si>
    <t>REF.: 3380- COTAÇÃO</t>
  </si>
  <si>
    <t>INSUMO/COMERCIO</t>
  </si>
  <si>
    <t>PHILIPS</t>
  </si>
  <si>
    <t>OBRA: MELHORIA, MODERNIZAÇÃO E IMPLANTAÇÃO DO SISTEMA DE ILUMINAÇÃO PÚBLICA DO TIPO ORNAMENTAL COM LUMINÁRIAS LED</t>
  </si>
  <si>
    <t>LOCAIS: BR-070, MT-130 E ROTATÓRIA DA BR-070 COM MT-130</t>
  </si>
  <si>
    <t>CIDADE : MUNICÍPIO SEDE DE PRIMAVERA DO LESTE - MT</t>
  </si>
  <si>
    <t>POSTE DE AÇO GALVANIZADO A FOGO INTERNA E EXTERNAMENTE CONFORME NORMAS NBR 6323, 7399 E 7400 DA ABNT, COM 12,00 METROS DE ALTURA E DOTADO DE DOIS BRAÇOS ORNAMENTAIS OPOSTOS NA CONFORMAÇÃO ESTILIZADA DE UM PEIXE, PARA INSTALAÇÃO DE LUMINÁRIAS, SENDO O BRAÇO SUPERIOR COM ALTÚRA ÚTIL A 10,00M E O INFERIOR A 6,70M DO NÍVEL DO SOLO.   - FORNECIMENTO E COLOCAÇÃO</t>
  </si>
  <si>
    <t>POSTE DE AÇO GALVANIZADO A FOGO INTERNA E EXTERNAMENTE CONFORME NORMAS NBR 6323, 7399 E 7400 DA ABNT, COM 12,00 METROS DE ALTURA E DOTADO DE DOIS BRAÇOS ORNAMENTAIS OPOSTOS NA CONFORMAÇÃO ESTILIZADA DE UM PEIXE, PARA INSTALAÇÃO DE LUMINÁRIAS, SENDO O BRAÇO SUPERIOR COM ALTÚRA ÚTIL A 10,00M E O INFERIOR A 6,70M DO NÍVEL DO SOLO.</t>
  </si>
  <si>
    <t>SANTIL 3M</t>
  </si>
  <si>
    <t>AMERICANAS 3M</t>
  </si>
  <si>
    <t>LOJA ELÉTRICA LTDAPRISMIANN</t>
  </si>
  <si>
    <t>MOTORISTA OPERADOR DE MUNCK COM ENCARGOS COMPELMENTARES</t>
  </si>
  <si>
    <t xml:space="preserve">IMPLANTAÇÃO DO SISTEMA DE ILUMINAÇÃO ORNAMENTAL </t>
  </si>
  <si>
    <t xml:space="preserve">MELHORIA E MODERNIZAÇÃO DO SISTEMA DE ILUMINAÇÃO ORNAMENTAL </t>
  </si>
  <si>
    <t>REMOÇÃO DE LUMINÁRIAS E ACESSÓRIOS EM TOPO DE POSTE DE CONCRETO CIRCULAR DE 15 METROS DE ALTURA COM UTILIZAÇÃO DE EQUIPAMENTO MUNCK COM CESTO AÉREO.</t>
  </si>
  <si>
    <t xml:space="preserve">VIADUTO E ROTATÓRIA DA BR-070 COM A MT-130 </t>
  </si>
  <si>
    <t>LOCAIS: BR-070, MT-130, VIADUTO E ROTATÓRIA DA BR-070 COM MT-130</t>
  </si>
  <si>
    <t>SUPERPOSTES DA BR-070</t>
  </si>
  <si>
    <t>BRAÇO TUBULAR EM AÇO GALVANIZADO A QUENTE COM  4,0m   COMPRIMENTO  x 48mm x 3,00mm +/- 0,5mm DE ESPESSURA, MODELO ASA DE BORBOLETA.</t>
  </si>
  <si>
    <t xml:space="preserve">SELA PARA CRUZETA EM POSTE CIRCULAR EM AÇO GALVANIZADO A QUENTE, NAS DIMENSÕES 110x116mm </t>
  </si>
  <si>
    <t>PARAFUSO FRANCÊS 70  X 16mm PARA CINTA CIRCULAR COM PORCA QUADRADA</t>
  </si>
  <si>
    <t>CINTA  EM CHAPA DE AÇO GALVANIZADO A QUENTE NAS DIMENSÕES 160mm PARA INSTALAÇÃO DE ESTRUTURAS EM POSTE DE CONCRETO CIRCULAR, COM DOIS PARAFUSOS FRANCÊS 16x70mm E PORCA QUADRADA.</t>
  </si>
  <si>
    <t>BRAÇO TUBULAR EM AÇO GALVANIZADO A QUENTE COM  4,0m   COMPRIMENTO  x 48mm x 3,00mm +/- 0,5mm DE ESPESSURA, MODELO ASA DE BORBOLETA, CONFORME PLANTA DO PROJETO E ACESSÓRIOS DE FIXAÇÃO - FORNECIMENTO E INSTALACÃO</t>
  </si>
  <si>
    <t xml:space="preserve">CABO DE COBRE FLEXÍVEL MULTIPOLAR COLORIDO 0,6/1KV , TIPO PP, 2X2,5 MM² - FORNECIMENTO E INSTALAÇÃO. </t>
  </si>
  <si>
    <t>CABO DE COBRE FLEXÍVEL MULTIPOLAR 0,6/1KV, TIPO PP, 2X2,5 MM</t>
  </si>
  <si>
    <t>http://www.cigame.com.br/materiais-eletricos/cabos-eletricos</t>
  </si>
  <si>
    <t>LUMINARIA DE LED PARA ILUMINACAO PÚBLICA, COM POTÊNCIA DE CONSUMO DE 100W E EFICIENCIA 110LM/W, FLUXO TOTAL MÍNIMO 11.000LM,  TEMPERATURA DE COR= 5000K +/- 400K, IRC&gt;70, TENSÃO DE ALIMENTAÇÃO ~90 A 277V E DISPOSITIVO DE PROTEÇÃO CONTRA DESCARGAS ATMOSFÉRICA-DPS, IP-66</t>
  </si>
  <si>
    <t>LUMINARIA DE LED PARA ILUMINACAO PÚBLICA, COM POTÊNCIA DE CONSUMO DE 150W E EFICIENCIA 110LM/W, FLUXO TOTAL MÍNIMO 16.500LM,  TEMPERATURA DE COR= 5000K +/- 400K, IRC&gt;70, TENSÃO DE ALIMENTAÇÃO ~90 A 277V E DISPOSITIVO DE PROTEÇÃO CONTRA DESCARGAS ATMOSFÉRICA-DPS, IP-66</t>
  </si>
  <si>
    <t>LUMINARIA DE LED PARA ILUMINACAO PÚBLICA, COM POTÊNCIA DE CONSUMO DE 100W E EFICIÊNCIA 110LM/W, FLUXO TOTAL MÍNIMO 11.000LM,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t>
  </si>
  <si>
    <t>LUMINARIA DE LED PARA ILUMINACAO PÚBLICA, COM POTÊNCIA DE CONSUMO DE 150W E EFICIÊNCIA 110LM/W, FLUXO TOTAL MÍNIMO 16.500LM,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t>
  </si>
  <si>
    <t>LUMINARIA DE LED PARA ILUMINACAO PÚBLICA, COM POTÊNCIA DE CONSUMO DE 210W E EFICIÊNCIA 110LM/W, FLUXO TOTAL MÍNIMO 23.100LM,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t>
  </si>
  <si>
    <t>LUMINARIA DE LED PARA ILUMINACAO PÚBLICA, COM POTÊNCIA DE CONSUMO DE 210W E EFICIENCIA 110LM/W, FLUXO TOTAL MÍNIMO 23.100LM,  TEMPERATURA DE COR= 5000K +/- 400K, IRC&gt;70, TENSÃO DE ALIMENTAÇÃO ~90 A 277V E DISPOSITIVO DE PROTEÇÃO CONTRA DESCARGAS ATMOSFÉRICA-DPS, IP-66</t>
  </si>
  <si>
    <t>SUPERPOSTES DA MT-130</t>
  </si>
  <si>
    <t>ELÉTRICA - LUMINÁRIAS E ACESSÓRIOS</t>
  </si>
  <si>
    <t>210dias</t>
  </si>
  <si>
    <t>240dias</t>
  </si>
  <si>
    <t>270dias</t>
  </si>
  <si>
    <t>300dias</t>
  </si>
  <si>
    <t>330dias</t>
  </si>
  <si>
    <t>360dias</t>
  </si>
  <si>
    <t>Wagner Wesley Barbosa da Silva</t>
  </si>
  <si>
    <t>Engenheiro Eletricista</t>
  </si>
  <si>
    <t>CREA 9285/VV</t>
  </si>
  <si>
    <t>CRONOGRAMAFINANCEIRO</t>
  </si>
  <si>
    <t>PRAZO DE EXCUÇÃO: 60 DIAS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</si>
</sst>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(* #,##0.00_);_(* \(#,##0.00\);_(* &quot;-&quot;??_);_(@_)"/>
    <numFmt numFmtId="165" formatCode="[$-416]General"/>
    <numFmt numFmtId="166" formatCode="#,##0.00&quot; &quot;;&quot; (&quot;#,##0.00&quot;)&quot;;&quot; -&quot;#&quot; &quot;;&quot; &quot;@&quot; &quot;"/>
    <numFmt numFmtId="167" formatCode="_-* #,##0.00_-;\-* #,##0.00_-;_-* &quot;-&quot;?????_-;_-@_-"/>
    <numFmt numFmtId="168" formatCode="_-* #,##0.00000_-;\-* #,##0.00000_-;_-* &quot;-&quot;??_-;_-@_-"/>
    <numFmt numFmtId="169" formatCode="0.00000"/>
    <numFmt numFmtId="170" formatCode="0.000"/>
    <numFmt numFmtId="171" formatCode="_-* #,##0.0000000_-;\-* #,##0.0000000_-;_-* &quot;-&quot;??_-;_-@_-"/>
    <numFmt numFmtId="172" formatCode="0.000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1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1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0">
    <xf numFmtId="0" fontId="0" fillId="0" borderId="0"/>
    <xf numFmtId="166" fontId="6" fillId="0" borderId="0" applyBorder="0" applyProtection="0"/>
    <xf numFmtId="165" fontId="6" fillId="0" borderId="0" applyBorder="0" applyProtection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3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15" borderId="0" applyNumberFormat="0" applyBorder="0" applyAlignment="0" applyProtection="0"/>
    <xf numFmtId="0" fontId="2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6" borderId="0" applyNumberFormat="0" applyBorder="0" applyAlignment="0" applyProtection="0"/>
    <xf numFmtId="0" fontId="24" fillId="30" borderId="1" applyNumberFormat="0" applyAlignment="0" applyProtection="0"/>
    <xf numFmtId="0" fontId="17" fillId="11" borderId="1" applyNumberFormat="0" applyAlignment="0" applyProtection="0"/>
    <xf numFmtId="0" fontId="19" fillId="12" borderId="2" applyNumberFormat="0" applyAlignment="0" applyProtection="0"/>
    <xf numFmtId="0" fontId="18" fillId="0" borderId="3" applyNumberFormat="0" applyFill="0" applyAlignment="0" applyProtection="0"/>
    <xf numFmtId="0" fontId="19" fillId="12" borderId="2" applyNumberFormat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7" borderId="1" applyNumberFormat="0" applyAlignment="0" applyProtection="0"/>
    <xf numFmtId="0" fontId="20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5" fillId="5" borderId="1" applyNumberFormat="0" applyAlignment="0" applyProtection="0"/>
    <xf numFmtId="0" fontId="28" fillId="0" borderId="21" applyNumberFormat="0" applyFill="0" applyAlignment="0" applyProtection="0"/>
    <xf numFmtId="0" fontId="14" fillId="7" borderId="0" applyNumberFormat="0" applyBorder="0" applyAlignment="0" applyProtection="0"/>
    <xf numFmtId="0" fontId="29" fillId="7" borderId="0" applyNumberFormat="0" applyBorder="0" applyAlignment="0" applyProtection="0"/>
    <xf numFmtId="0" fontId="5" fillId="4" borderId="4" applyNumberFormat="0" applyFont="0" applyAlignment="0" applyProtection="0"/>
    <xf numFmtId="0" fontId="4" fillId="4" borderId="4" applyNumberFormat="0" applyFont="0" applyAlignment="0" applyProtection="0"/>
    <xf numFmtId="0" fontId="16" fillId="30" borderId="5" applyNumberFormat="0" applyAlignment="0" applyProtection="0"/>
    <xf numFmtId="0" fontId="16" fillId="11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5" fillId="4" borderId="4" applyNumberFormat="0" applyFont="0" applyAlignment="0" applyProtection="0"/>
    <xf numFmtId="0" fontId="5" fillId="0" borderId="0"/>
    <xf numFmtId="0" fontId="5" fillId="4" borderId="4" applyNumberFormat="0" applyFont="0" applyAlignment="0" applyProtection="0"/>
    <xf numFmtId="0" fontId="5" fillId="0" borderId="0"/>
    <xf numFmtId="0" fontId="5" fillId="4" borderId="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30" borderId="54" applyNumberFormat="0" applyAlignment="0" applyProtection="0"/>
    <xf numFmtId="0" fontId="17" fillId="11" borderId="54" applyNumberFormat="0" applyAlignment="0" applyProtection="0"/>
    <xf numFmtId="0" fontId="15" fillId="7" borderId="54" applyNumberFormat="0" applyAlignment="0" applyProtection="0"/>
    <xf numFmtId="0" fontId="15" fillId="5" borderId="54" applyNumberFormat="0" applyAlignment="0" applyProtection="0"/>
    <xf numFmtId="0" fontId="5" fillId="4" borderId="55" applyNumberFormat="0" applyFont="0" applyAlignment="0" applyProtection="0"/>
    <xf numFmtId="0" fontId="4" fillId="4" borderId="55" applyNumberFormat="0" applyFont="0" applyAlignment="0" applyProtection="0"/>
    <xf numFmtId="0" fontId="16" fillId="30" borderId="56" applyNumberFormat="0" applyAlignment="0" applyProtection="0"/>
    <xf numFmtId="0" fontId="16" fillId="11" borderId="56" applyNumberFormat="0" applyAlignment="0" applyProtection="0"/>
    <xf numFmtId="0" fontId="21" fillId="0" borderId="57" applyNumberFormat="0" applyFill="0" applyAlignment="0" applyProtection="0"/>
    <xf numFmtId="0" fontId="5" fillId="4" borderId="55" applyNumberFormat="0" applyFont="0" applyAlignment="0" applyProtection="0"/>
    <xf numFmtId="0" fontId="5" fillId="4" borderId="55" applyNumberFormat="0" applyFont="0" applyAlignment="0" applyProtection="0"/>
    <xf numFmtId="0" fontId="5" fillId="4" borderId="55" applyNumberFormat="0" applyFont="0" applyAlignment="0" applyProtection="0"/>
  </cellStyleXfs>
  <cellXfs count="436">
    <xf numFmtId="0" fontId="0" fillId="0" borderId="0" xfId="0"/>
    <xf numFmtId="0" fontId="32" fillId="0" borderId="0" xfId="0" applyFont="1"/>
    <xf numFmtId="4" fontId="32" fillId="20" borderId="0" xfId="4" applyNumberFormat="1" applyFont="1" applyFill="1" applyBorder="1" applyAlignment="1">
      <alignment vertical="center"/>
    </xf>
    <xf numFmtId="4" fontId="32" fillId="20" borderId="29" xfId="4" applyNumberFormat="1" applyFont="1" applyFill="1" applyBorder="1" applyAlignment="1">
      <alignment vertical="center"/>
    </xf>
    <xf numFmtId="0" fontId="33" fillId="20" borderId="0" xfId="0" applyFont="1" applyFill="1" applyBorder="1" applyAlignment="1">
      <alignment horizontal="left" vertical="center"/>
    </xf>
    <xf numFmtId="0" fontId="35" fillId="18" borderId="12" xfId="0" applyFont="1" applyFill="1" applyBorder="1" applyAlignment="1">
      <alignment horizontal="center" vertical="center" wrapText="1"/>
    </xf>
    <xf numFmtId="0" fontId="35" fillId="18" borderId="31" xfId="0" applyFont="1" applyFill="1" applyBorder="1" applyAlignment="1">
      <alignment horizontal="center" vertical="center" wrapText="1"/>
    </xf>
    <xf numFmtId="0" fontId="35" fillId="18" borderId="75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4" fontId="36" fillId="0" borderId="42" xfId="6" applyNumberFormat="1" applyFont="1" applyBorder="1" applyAlignment="1" applyProtection="1">
      <alignment horizontal="center"/>
      <protection locked="0"/>
    </xf>
    <xf numFmtId="0" fontId="35" fillId="0" borderId="79" xfId="0" applyFont="1" applyBorder="1" applyAlignment="1">
      <alignment horizontal="center"/>
    </xf>
    <xf numFmtId="0" fontId="35" fillId="0" borderId="44" xfId="0" applyFont="1" applyBorder="1" applyAlignment="1">
      <alignment horizontal="left"/>
    </xf>
    <xf numFmtId="4" fontId="35" fillId="0" borderId="46" xfId="6" applyNumberFormat="1" applyFont="1" applyBorder="1" applyAlignment="1" applyProtection="1">
      <alignment horizontal="center"/>
      <protection locked="0"/>
    </xf>
    <xf numFmtId="0" fontId="35" fillId="0" borderId="81" xfId="0" applyFont="1" applyBorder="1" applyAlignment="1">
      <alignment horizontal="center"/>
    </xf>
    <xf numFmtId="0" fontId="35" fillId="0" borderId="26" xfId="0" applyFont="1" applyBorder="1" applyAlignment="1">
      <alignment horizontal="left"/>
    </xf>
    <xf numFmtId="4" fontId="35" fillId="0" borderId="47" xfId="6" applyNumberFormat="1" applyFont="1" applyBorder="1" applyAlignment="1" applyProtection="1">
      <alignment horizontal="center"/>
      <protection locked="0"/>
    </xf>
    <xf numFmtId="4" fontId="35" fillId="0" borderId="48" xfId="6" applyNumberFormat="1" applyFont="1" applyBorder="1" applyAlignment="1" applyProtection="1">
      <alignment horizontal="center"/>
      <protection locked="0"/>
    </xf>
    <xf numFmtId="4" fontId="37" fillId="0" borderId="48" xfId="6" applyNumberFormat="1" applyFont="1" applyBorder="1" applyAlignment="1" applyProtection="1">
      <alignment horizontal="center"/>
      <protection locked="0"/>
    </xf>
    <xf numFmtId="0" fontId="36" fillId="0" borderId="28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43" xfId="0" applyFont="1" applyBorder="1" applyAlignment="1">
      <alignment horizontal="center" wrapText="1"/>
    </xf>
    <xf numFmtId="0" fontId="35" fillId="0" borderId="46" xfId="0" applyFont="1" applyBorder="1" applyAlignment="1">
      <alignment horizontal="center"/>
    </xf>
    <xf numFmtId="4" fontId="36" fillId="0" borderId="46" xfId="6" applyNumberFormat="1" applyFont="1" applyBorder="1" applyAlignment="1" applyProtection="1">
      <alignment horizontal="center"/>
      <protection locked="0"/>
    </xf>
    <xf numFmtId="0" fontId="35" fillId="0" borderId="84" xfId="0" applyFont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36" fillId="0" borderId="51" xfId="0" applyFont="1" applyBorder="1" applyAlignment="1">
      <alignment horizontal="left"/>
    </xf>
    <xf numFmtId="4" fontId="36" fillId="0" borderId="47" xfId="6" applyNumberFormat="1" applyFont="1" applyBorder="1" applyAlignment="1">
      <alignment horizontal="center"/>
    </xf>
    <xf numFmtId="4" fontId="36" fillId="0" borderId="47" xfId="6" applyNumberFormat="1" applyFont="1" applyBorder="1" applyAlignment="1" applyProtection="1">
      <alignment horizontal="center"/>
      <protection locked="0"/>
    </xf>
    <xf numFmtId="4" fontId="36" fillId="0" borderId="86" xfId="6" applyNumberFormat="1" applyFont="1" applyBorder="1" applyAlignment="1">
      <alignment horizontal="center"/>
    </xf>
    <xf numFmtId="4" fontId="36" fillId="0" borderId="42" xfId="6" applyNumberFormat="1" applyFont="1" applyBorder="1" applyAlignment="1">
      <alignment horizontal="center"/>
    </xf>
    <xf numFmtId="4" fontId="36" fillId="0" borderId="87" xfId="6" applyNumberFormat="1" applyFont="1" applyBorder="1" applyAlignment="1">
      <alignment horizontal="center"/>
    </xf>
    <xf numFmtId="4" fontId="32" fillId="0" borderId="42" xfId="6" applyNumberFormat="1" applyFont="1" applyBorder="1" applyAlignment="1" applyProtection="1">
      <alignment horizontal="center"/>
      <protection locked="0"/>
    </xf>
    <xf numFmtId="4" fontId="35" fillId="0" borderId="46" xfId="6" applyNumberFormat="1" applyFont="1" applyBorder="1" applyAlignment="1">
      <alignment horizontal="center"/>
    </xf>
    <xf numFmtId="4" fontId="37" fillId="0" borderId="46" xfId="6" applyNumberFormat="1" applyFont="1" applyBorder="1" applyAlignment="1" applyProtection="1">
      <alignment horizontal="center"/>
      <protection locked="0"/>
    </xf>
    <xf numFmtId="4" fontId="35" fillId="0" borderId="84" xfId="6" applyNumberFormat="1" applyFont="1" applyBorder="1" applyAlignment="1">
      <alignment horizontal="center"/>
    </xf>
    <xf numFmtId="0" fontId="35" fillId="0" borderId="26" xfId="0" applyFont="1" applyBorder="1" applyAlignment="1">
      <alignment horizontal="right"/>
    </xf>
    <xf numFmtId="4" fontId="37" fillId="0" borderId="27" xfId="6" applyNumberFormat="1" applyFont="1" applyBorder="1"/>
    <xf numFmtId="10" fontId="37" fillId="0" borderId="48" xfId="5" applyNumberFormat="1" applyFont="1" applyBorder="1" applyAlignment="1">
      <alignment horizontal="center"/>
    </xf>
    <xf numFmtId="0" fontId="35" fillId="0" borderId="25" xfId="0" applyFont="1" applyBorder="1" applyAlignment="1">
      <alignment horizontal="right"/>
    </xf>
    <xf numFmtId="4" fontId="36" fillId="0" borderId="82" xfId="0" applyNumberFormat="1" applyFont="1" applyBorder="1"/>
    <xf numFmtId="0" fontId="32" fillId="18" borderId="28" xfId="0" applyFont="1" applyFill="1" applyBorder="1"/>
    <xf numFmtId="0" fontId="36" fillId="18" borderId="0" xfId="0" applyFont="1" applyFill="1" applyBorder="1"/>
    <xf numFmtId="164" fontId="36" fillId="18" borderId="0" xfId="6" applyNumberFormat="1" applyFont="1" applyFill="1" applyBorder="1"/>
    <xf numFmtId="164" fontId="36" fillId="18" borderId="29" xfId="6" applyNumberFormat="1" applyFont="1" applyFill="1" applyBorder="1"/>
    <xf numFmtId="0" fontId="36" fillId="18" borderId="28" xfId="0" applyFont="1" applyFill="1" applyBorder="1"/>
    <xf numFmtId="0" fontId="37" fillId="18" borderId="0" xfId="0" applyFont="1" applyFill="1" applyBorder="1" applyAlignment="1">
      <alignment horizontal="justify"/>
    </xf>
    <xf numFmtId="0" fontId="37" fillId="18" borderId="0" xfId="0" applyFont="1" applyFill="1" applyBorder="1"/>
    <xf numFmtId="0" fontId="36" fillId="18" borderId="30" xfId="0" applyFont="1" applyFill="1" applyBorder="1"/>
    <xf numFmtId="0" fontId="37" fillId="18" borderId="31" xfId="0" applyFont="1" applyFill="1" applyBorder="1"/>
    <xf numFmtId="0" fontId="36" fillId="18" borderId="31" xfId="0" applyFont="1" applyFill="1" applyBorder="1"/>
    <xf numFmtId="164" fontId="36" fillId="18" borderId="31" xfId="6" applyNumberFormat="1" applyFont="1" applyFill="1" applyBorder="1"/>
    <xf numFmtId="164" fontId="36" fillId="18" borderId="32" xfId="6" applyNumberFormat="1" applyFont="1" applyFill="1" applyBorder="1"/>
    <xf numFmtId="0" fontId="37" fillId="20" borderId="49" xfId="0" applyFont="1" applyFill="1" applyBorder="1" applyAlignment="1">
      <alignment horizontal="center" vertical="center"/>
    </xf>
    <xf numFmtId="0" fontId="32" fillId="20" borderId="51" xfId="0" applyFont="1" applyFill="1" applyBorder="1"/>
    <xf numFmtId="1" fontId="32" fillId="20" borderId="51" xfId="0" applyNumberFormat="1" applyFont="1" applyFill="1" applyBorder="1"/>
    <xf numFmtId="170" fontId="32" fillId="20" borderId="51" xfId="0" applyNumberFormat="1" applyFont="1" applyFill="1" applyBorder="1"/>
    <xf numFmtId="2" fontId="32" fillId="20" borderId="51" xfId="0" applyNumberFormat="1" applyFont="1" applyFill="1" applyBorder="1" applyAlignment="1">
      <alignment horizontal="right"/>
    </xf>
    <xf numFmtId="43" fontId="32" fillId="20" borderId="51" xfId="0" applyNumberFormat="1" applyFont="1" applyFill="1" applyBorder="1" applyAlignment="1">
      <alignment horizontal="right"/>
    </xf>
    <xf numFmtId="43" fontId="32" fillId="20" borderId="51" xfId="0" applyNumberFormat="1" applyFont="1" applyFill="1" applyBorder="1"/>
    <xf numFmtId="43" fontId="32" fillId="20" borderId="50" xfId="0" applyNumberFormat="1" applyFont="1" applyFill="1" applyBorder="1"/>
    <xf numFmtId="0" fontId="32" fillId="0" borderId="0" xfId="0" applyFont="1" applyFill="1"/>
    <xf numFmtId="4" fontId="32" fillId="20" borderId="23" xfId="4" applyNumberFormat="1" applyFont="1" applyFill="1" applyBorder="1" applyAlignment="1">
      <alignment vertical="center"/>
    </xf>
    <xf numFmtId="0" fontId="32" fillId="20" borderId="0" xfId="0" applyFont="1" applyFill="1" applyBorder="1"/>
    <xf numFmtId="4" fontId="32" fillId="20" borderId="0" xfId="4" applyNumberFormat="1" applyFont="1" applyFill="1" applyBorder="1" applyAlignment="1">
      <alignment vertical="center" wrapText="1"/>
    </xf>
    <xf numFmtId="170" fontId="32" fillId="20" borderId="0" xfId="4" applyNumberFormat="1" applyFont="1" applyFill="1" applyBorder="1" applyAlignment="1">
      <alignment vertical="center" wrapText="1"/>
    </xf>
    <xf numFmtId="2" fontId="32" fillId="20" borderId="0" xfId="4" applyNumberFormat="1" applyFont="1" applyFill="1" applyBorder="1" applyAlignment="1">
      <alignment horizontal="right" vertical="center" wrapText="1"/>
    </xf>
    <xf numFmtId="43" fontId="32" fillId="20" borderId="0" xfId="4" applyNumberFormat="1" applyFont="1" applyFill="1" applyBorder="1" applyAlignment="1">
      <alignment horizontal="right" vertical="center" wrapText="1"/>
    </xf>
    <xf numFmtId="4" fontId="32" fillId="20" borderId="24" xfId="4" applyNumberFormat="1" applyFont="1" applyFill="1" applyBorder="1" applyAlignment="1">
      <alignment vertical="center" wrapText="1"/>
    </xf>
    <xf numFmtId="170" fontId="32" fillId="20" borderId="0" xfId="4" applyNumberFormat="1" applyFont="1" applyFill="1" applyBorder="1" applyAlignment="1">
      <alignment vertical="center"/>
    </xf>
    <xf numFmtId="2" fontId="32" fillId="20" borderId="0" xfId="4" applyNumberFormat="1" applyFont="1" applyFill="1" applyBorder="1" applyAlignment="1">
      <alignment horizontal="right" vertical="center"/>
    </xf>
    <xf numFmtId="43" fontId="32" fillId="20" borderId="0" xfId="4" applyNumberFormat="1" applyFont="1" applyFill="1" applyBorder="1" applyAlignment="1">
      <alignment horizontal="right" vertical="center"/>
    </xf>
    <xf numFmtId="4" fontId="32" fillId="20" borderId="24" xfId="4" applyNumberFormat="1" applyFont="1" applyFill="1" applyBorder="1" applyAlignment="1">
      <alignment vertical="center"/>
    </xf>
    <xf numFmtId="0" fontId="32" fillId="20" borderId="23" xfId="0" applyFont="1" applyFill="1" applyBorder="1" applyAlignment="1">
      <alignment horizontal="left" vertical="center"/>
    </xf>
    <xf numFmtId="0" fontId="37" fillId="20" borderId="23" xfId="0" applyFont="1" applyFill="1" applyBorder="1" applyAlignment="1">
      <alignment horizontal="left" vertical="center"/>
    </xf>
    <xf numFmtId="4" fontId="36" fillId="20" borderId="0" xfId="4" applyNumberFormat="1" applyFont="1" applyFill="1" applyBorder="1" applyAlignment="1">
      <alignment vertical="center" wrapText="1"/>
    </xf>
    <xf numFmtId="170" fontId="36" fillId="20" borderId="0" xfId="4" applyNumberFormat="1" applyFont="1" applyFill="1" applyBorder="1" applyAlignment="1">
      <alignment vertical="center" wrapText="1"/>
    </xf>
    <xf numFmtId="2" fontId="36" fillId="20" borderId="0" xfId="4" applyNumberFormat="1" applyFont="1" applyFill="1" applyBorder="1" applyAlignment="1">
      <alignment horizontal="right" vertical="center" wrapText="1"/>
    </xf>
    <xf numFmtId="43" fontId="32" fillId="20" borderId="0" xfId="0" applyNumberFormat="1" applyFont="1" applyFill="1" applyBorder="1" applyAlignment="1">
      <alignment horizontal="right"/>
    </xf>
    <xf numFmtId="43" fontId="32" fillId="20" borderId="0" xfId="0" applyNumberFormat="1" applyFont="1" applyFill="1" applyBorder="1"/>
    <xf numFmtId="43" fontId="32" fillId="20" borderId="24" xfId="0" applyNumberFormat="1" applyFont="1" applyFill="1" applyBorder="1"/>
    <xf numFmtId="0" fontId="37" fillId="20" borderId="43" xfId="0" applyFont="1" applyFill="1" applyBorder="1" applyAlignment="1">
      <alignment horizontal="center" vertical="center"/>
    </xf>
    <xf numFmtId="0" fontId="32" fillId="20" borderId="44" xfId="0" applyFont="1" applyFill="1" applyBorder="1"/>
    <xf numFmtId="1" fontId="32" fillId="20" borderId="44" xfId="0" applyNumberFormat="1" applyFont="1" applyFill="1" applyBorder="1"/>
    <xf numFmtId="0" fontId="38" fillId="0" borderId="13" xfId="0" applyFont="1" applyFill="1" applyBorder="1" applyAlignment="1">
      <alignment horizontal="center" vertical="center"/>
    </xf>
    <xf numFmtId="0" fontId="36" fillId="0" borderId="13" xfId="4" applyFont="1" applyFill="1" applyBorder="1" applyAlignment="1">
      <alignment horizontal="center" vertical="center" wrapText="1"/>
    </xf>
    <xf numFmtId="1" fontId="36" fillId="0" borderId="13" xfId="4" applyNumberFormat="1" applyFont="1" applyFill="1" applyBorder="1" applyAlignment="1">
      <alignment horizontal="center" vertical="center" wrapText="1"/>
    </xf>
    <xf numFmtId="170" fontId="36" fillId="0" borderId="13" xfId="4" applyNumberFormat="1" applyFont="1" applyFill="1" applyBorder="1" applyAlignment="1">
      <alignment horizontal="center" vertical="center" wrapText="1"/>
    </xf>
    <xf numFmtId="2" fontId="36" fillId="0" borderId="13" xfId="4" applyNumberFormat="1" applyFont="1" applyFill="1" applyBorder="1" applyAlignment="1">
      <alignment horizontal="right" vertical="center" wrapText="1"/>
    </xf>
    <xf numFmtId="43" fontId="36" fillId="0" borderId="13" xfId="4" applyNumberFormat="1" applyFont="1" applyFill="1" applyBorder="1" applyAlignment="1">
      <alignment horizontal="right" vertical="center" wrapText="1"/>
    </xf>
    <xf numFmtId="43" fontId="36" fillId="0" borderId="13" xfId="4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2" fontId="32" fillId="0" borderId="0" xfId="0" applyNumberFormat="1" applyFont="1" applyFill="1" applyAlignment="1">
      <alignment horizontal="right"/>
    </xf>
    <xf numFmtId="0" fontId="37" fillId="0" borderId="1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horizontal="center" vertical="center" wrapText="1"/>
    </xf>
    <xf numFmtId="1" fontId="36" fillId="0" borderId="0" xfId="4" applyNumberFormat="1" applyFont="1" applyFill="1" applyBorder="1" applyAlignment="1">
      <alignment horizontal="center" vertical="center" wrapText="1"/>
    </xf>
    <xf numFmtId="170" fontId="36" fillId="0" borderId="0" xfId="4" applyNumberFormat="1" applyFont="1" applyFill="1" applyBorder="1" applyAlignment="1">
      <alignment horizontal="center" vertical="center" wrapText="1"/>
    </xf>
    <xf numFmtId="2" fontId="36" fillId="0" borderId="0" xfId="4" applyNumberFormat="1" applyFont="1" applyFill="1" applyBorder="1" applyAlignment="1">
      <alignment horizontal="right" vertical="center" wrapText="1"/>
    </xf>
    <xf numFmtId="43" fontId="36" fillId="0" borderId="0" xfId="4" applyNumberFormat="1" applyFont="1" applyFill="1" applyBorder="1" applyAlignment="1">
      <alignment horizontal="right" vertical="center" wrapText="1"/>
    </xf>
    <xf numFmtId="43" fontId="36" fillId="0" borderId="0" xfId="4" applyNumberFormat="1" applyFont="1" applyFill="1" applyBorder="1" applyAlignment="1">
      <alignment horizontal="center" vertical="center" wrapText="1"/>
    </xf>
    <xf numFmtId="43" fontId="36" fillId="0" borderId="13" xfId="104" applyNumberFormat="1" applyFont="1" applyFill="1" applyBorder="1" applyAlignment="1">
      <alignment horizontal="right" vertical="center" wrapText="1"/>
    </xf>
    <xf numFmtId="43" fontId="36" fillId="0" borderId="13" xfId="104" applyNumberFormat="1" applyFont="1" applyFill="1" applyBorder="1" applyAlignment="1">
      <alignment horizontal="center" vertical="center" wrapText="1"/>
    </xf>
    <xf numFmtId="2" fontId="36" fillId="0" borderId="12" xfId="4" applyNumberFormat="1" applyFont="1" applyFill="1" applyBorder="1" applyAlignment="1">
      <alignment horizontal="center" vertical="center" wrapText="1"/>
    </xf>
    <xf numFmtId="170" fontId="36" fillId="0" borderId="12" xfId="4" applyNumberFormat="1" applyFont="1" applyFill="1" applyBorder="1" applyAlignment="1">
      <alignment horizontal="center" vertical="center" wrapText="1"/>
    </xf>
    <xf numFmtId="2" fontId="36" fillId="0" borderId="12" xfId="4" applyNumberFormat="1" applyFont="1" applyFill="1" applyBorder="1" applyAlignment="1">
      <alignment horizontal="right" vertical="center" wrapText="1"/>
    </xf>
    <xf numFmtId="43" fontId="36" fillId="0" borderId="12" xfId="4" applyNumberFormat="1" applyFont="1" applyFill="1" applyBorder="1" applyAlignment="1">
      <alignment horizontal="right" vertical="center" wrapText="1"/>
    </xf>
    <xf numFmtId="43" fontId="36" fillId="0" borderId="12" xfId="4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1" fontId="32" fillId="0" borderId="0" xfId="0" applyNumberFormat="1" applyFont="1" applyFill="1"/>
    <xf numFmtId="170" fontId="32" fillId="0" borderId="0" xfId="0" applyNumberFormat="1" applyFont="1" applyFill="1"/>
    <xf numFmtId="43" fontId="32" fillId="0" borderId="0" xfId="0" applyNumberFormat="1" applyFont="1" applyFill="1" applyAlignment="1">
      <alignment horizontal="right"/>
    </xf>
    <xf numFmtId="43" fontId="32" fillId="0" borderId="0" xfId="0" applyNumberFormat="1" applyFont="1" applyFill="1"/>
    <xf numFmtId="1" fontId="36" fillId="0" borderId="12" xfId="4" applyNumberFormat="1" applyFont="1" applyFill="1" applyBorder="1" applyAlignment="1">
      <alignment horizontal="center" vertical="center" wrapText="1"/>
    </xf>
    <xf numFmtId="0" fontId="36" fillId="0" borderId="0" xfId="104" applyFont="1" applyFill="1" applyBorder="1" applyAlignment="1">
      <alignment horizontal="center" vertical="center" wrapText="1"/>
    </xf>
    <xf numFmtId="0" fontId="36" fillId="20" borderId="0" xfId="104" applyFont="1" applyFill="1" applyBorder="1" applyAlignment="1">
      <alignment horizontal="center" vertical="center" wrapText="1"/>
    </xf>
    <xf numFmtId="170" fontId="36" fillId="20" borderId="0" xfId="104" applyNumberFormat="1" applyFont="1" applyFill="1" applyBorder="1" applyAlignment="1">
      <alignment horizontal="center" vertical="center" wrapText="1"/>
    </xf>
    <xf numFmtId="2" fontId="36" fillId="20" borderId="0" xfId="104" applyNumberFormat="1" applyFont="1" applyFill="1" applyBorder="1" applyAlignment="1">
      <alignment horizontal="right" vertical="center" wrapText="1"/>
    </xf>
    <xf numFmtId="43" fontId="36" fillId="20" borderId="0" xfId="104" applyNumberFormat="1" applyFont="1" applyFill="1" applyBorder="1" applyAlignment="1">
      <alignment horizontal="right" vertical="center" wrapText="1"/>
    </xf>
    <xf numFmtId="43" fontId="36" fillId="0" borderId="0" xfId="104" applyNumberFormat="1" applyFont="1" applyFill="1" applyBorder="1" applyAlignment="1">
      <alignment horizontal="center" vertical="center" wrapText="1"/>
    </xf>
    <xf numFmtId="43" fontId="36" fillId="20" borderId="0" xfId="104" applyNumberFormat="1" applyFont="1" applyFill="1" applyBorder="1" applyAlignment="1">
      <alignment horizontal="center" vertical="center" wrapText="1"/>
    </xf>
    <xf numFmtId="0" fontId="36" fillId="0" borderId="13" xfId="104" applyFont="1" applyFill="1" applyBorder="1" applyAlignment="1">
      <alignment horizontal="center" vertical="center" wrapText="1"/>
    </xf>
    <xf numFmtId="170" fontId="36" fillId="0" borderId="13" xfId="104" applyNumberFormat="1" applyFont="1" applyFill="1" applyBorder="1" applyAlignment="1">
      <alignment horizontal="center" vertical="center" wrapText="1"/>
    </xf>
    <xf numFmtId="2" fontId="36" fillId="0" borderId="13" xfId="104" applyNumberFormat="1" applyFont="1" applyFill="1" applyBorder="1" applyAlignment="1">
      <alignment horizontal="right" vertical="center" wrapText="1"/>
    </xf>
    <xf numFmtId="0" fontId="37" fillId="32" borderId="13" xfId="4" applyFont="1" applyFill="1" applyBorder="1" applyAlignment="1">
      <alignment horizontal="center" vertical="center" wrapText="1"/>
    </xf>
    <xf numFmtId="1" fontId="35" fillId="32" borderId="13" xfId="3" applyNumberFormat="1" applyFont="1" applyFill="1" applyBorder="1" applyAlignment="1" applyProtection="1">
      <alignment horizontal="center" vertical="center" wrapText="1"/>
      <protection locked="0"/>
    </xf>
    <xf numFmtId="168" fontId="35" fillId="32" borderId="13" xfId="3" applyNumberFormat="1" applyFont="1" applyFill="1" applyBorder="1" applyAlignment="1" applyProtection="1">
      <alignment horizontal="center" vertical="center" wrapText="1"/>
      <protection locked="0"/>
    </xf>
    <xf numFmtId="170" fontId="35" fillId="32" borderId="13" xfId="3" applyNumberFormat="1" applyFont="1" applyFill="1" applyBorder="1" applyAlignment="1" applyProtection="1">
      <alignment horizontal="center" vertical="center" wrapText="1"/>
      <protection locked="0"/>
    </xf>
    <xf numFmtId="2" fontId="35" fillId="32" borderId="13" xfId="3" applyNumberFormat="1" applyFont="1" applyFill="1" applyBorder="1" applyAlignment="1" applyProtection="1">
      <alignment horizontal="right" vertical="center" wrapText="1"/>
      <protection locked="0"/>
    </xf>
    <xf numFmtId="43" fontId="37" fillId="32" borderId="13" xfId="10" applyNumberFormat="1" applyFont="1" applyFill="1" applyBorder="1" applyAlignment="1" applyProtection="1">
      <alignment horizontal="right" vertical="center" wrapText="1"/>
      <protection locked="0"/>
    </xf>
    <xf numFmtId="43" fontId="36" fillId="32" borderId="12" xfId="4" applyNumberFormat="1" applyFont="1" applyFill="1" applyBorder="1" applyAlignment="1">
      <alignment horizontal="right" vertical="center" wrapText="1"/>
    </xf>
    <xf numFmtId="43" fontId="36" fillId="32" borderId="12" xfId="4" applyNumberFormat="1" applyFont="1" applyFill="1" applyBorder="1" applyAlignment="1">
      <alignment horizontal="center" vertical="center" wrapText="1"/>
    </xf>
    <xf numFmtId="1" fontId="36" fillId="0" borderId="13" xfId="104" applyNumberFormat="1" applyFont="1" applyFill="1" applyBorder="1" applyAlignment="1">
      <alignment horizontal="center" vertical="center" wrapText="1"/>
    </xf>
    <xf numFmtId="43" fontId="36" fillId="0" borderId="13" xfId="10" applyNumberFormat="1" applyFont="1" applyFill="1" applyBorder="1" applyAlignment="1" applyProtection="1">
      <alignment horizontal="right" vertical="center" wrapText="1"/>
      <protection locked="0"/>
    </xf>
    <xf numFmtId="3" fontId="39" fillId="0" borderId="13" xfId="3" applyNumberFormat="1" applyFont="1" applyFill="1" applyBorder="1" applyAlignment="1" applyProtection="1">
      <alignment horizontal="center" vertical="center" wrapText="1"/>
    </xf>
    <xf numFmtId="1" fontId="36" fillId="0" borderId="0" xfId="104" applyNumberFormat="1" applyFont="1" applyFill="1" applyBorder="1" applyAlignment="1">
      <alignment horizontal="center" vertical="center" wrapText="1"/>
    </xf>
    <xf numFmtId="170" fontId="36" fillId="0" borderId="0" xfId="104" applyNumberFormat="1" applyFont="1" applyFill="1" applyBorder="1" applyAlignment="1">
      <alignment horizontal="center" vertical="center" wrapText="1"/>
    </xf>
    <xf numFmtId="43" fontId="36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39" fillId="0" borderId="13" xfId="0" applyFont="1" applyFill="1" applyBorder="1" applyAlignment="1">
      <alignment horizontal="center" vertical="center"/>
    </xf>
    <xf numFmtId="170" fontId="37" fillId="32" borderId="13" xfId="4" applyNumberFormat="1" applyFont="1" applyFill="1" applyBorder="1" applyAlignment="1">
      <alignment horizontal="center" vertical="center" wrapText="1"/>
    </xf>
    <xf numFmtId="2" fontId="36" fillId="0" borderId="0" xfId="104" applyNumberFormat="1" applyFont="1" applyFill="1" applyBorder="1" applyAlignment="1">
      <alignment horizontal="right" vertical="center" wrapText="1"/>
    </xf>
    <xf numFmtId="0" fontId="36" fillId="0" borderId="13" xfId="4" applyFont="1" applyFill="1" applyBorder="1" applyAlignment="1">
      <alignment horizontal="justify" vertical="center" wrapText="1"/>
    </xf>
    <xf numFmtId="0" fontId="36" fillId="0" borderId="13" xfId="104" applyFont="1" applyFill="1" applyBorder="1" applyAlignment="1">
      <alignment horizontal="justify" vertical="center" wrapText="1"/>
    </xf>
    <xf numFmtId="43" fontId="36" fillId="0" borderId="0" xfId="104" applyNumberFormat="1" applyFont="1" applyFill="1" applyBorder="1" applyAlignment="1">
      <alignment horizontal="right" vertical="center" wrapText="1"/>
    </xf>
    <xf numFmtId="0" fontId="32" fillId="20" borderId="51" xfId="0" applyFont="1" applyFill="1" applyBorder="1" applyAlignment="1">
      <alignment horizontal="justify"/>
    </xf>
    <xf numFmtId="4" fontId="32" fillId="20" borderId="0" xfId="4" applyNumberFormat="1" applyFont="1" applyFill="1" applyBorder="1" applyAlignment="1">
      <alignment horizontal="justify" vertical="center" wrapText="1"/>
    </xf>
    <xf numFmtId="4" fontId="32" fillId="20" borderId="0" xfId="4" applyNumberFormat="1" applyFont="1" applyFill="1" applyBorder="1" applyAlignment="1">
      <alignment horizontal="justify" vertical="center"/>
    </xf>
    <xf numFmtId="0" fontId="32" fillId="20" borderId="44" xfId="0" applyFont="1" applyFill="1" applyBorder="1" applyAlignment="1">
      <alignment horizontal="justify"/>
    </xf>
    <xf numFmtId="0" fontId="36" fillId="0" borderId="0" xfId="4" applyFont="1" applyFill="1" applyBorder="1" applyAlignment="1">
      <alignment horizontal="justify" vertical="center" wrapText="1"/>
    </xf>
    <xf numFmtId="2" fontId="36" fillId="0" borderId="12" xfId="4" applyNumberFormat="1" applyFont="1" applyFill="1" applyBorder="1" applyAlignment="1">
      <alignment horizontal="justify" vertical="center" wrapText="1"/>
    </xf>
    <xf numFmtId="0" fontId="32" fillId="0" borderId="0" xfId="0" applyFont="1" applyFill="1" applyAlignment="1">
      <alignment horizontal="justify"/>
    </xf>
    <xf numFmtId="0" fontId="36" fillId="20" borderId="0" xfId="104" applyFont="1" applyFill="1" applyBorder="1" applyAlignment="1">
      <alignment horizontal="justify" vertical="center" wrapText="1"/>
    </xf>
    <xf numFmtId="43" fontId="32" fillId="0" borderId="0" xfId="0" applyNumberFormat="1" applyFont="1" applyFill="1" applyAlignment="1">
      <alignment horizontal="justify"/>
    </xf>
    <xf numFmtId="0" fontId="35" fillId="32" borderId="14" xfId="3" applyFont="1" applyFill="1" applyBorder="1" applyAlignment="1" applyProtection="1">
      <alignment horizontal="justify" vertical="center" wrapText="1"/>
      <protection locked="0"/>
    </xf>
    <xf numFmtId="0" fontId="36" fillId="0" borderId="0" xfId="104" applyFont="1" applyFill="1" applyBorder="1" applyAlignment="1">
      <alignment horizontal="justify" vertical="center" wrapText="1"/>
    </xf>
    <xf numFmtId="0" fontId="32" fillId="20" borderId="9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37" fillId="20" borderId="0" xfId="0" applyFont="1" applyFill="1" applyBorder="1" applyAlignment="1">
      <alignment horizontal="left" vertical="center"/>
    </xf>
    <xf numFmtId="165" fontId="37" fillId="19" borderId="0" xfId="2" applyFont="1" applyFill="1" applyBorder="1" applyAlignment="1" applyProtection="1">
      <alignment vertical="top"/>
    </xf>
    <xf numFmtId="167" fontId="37" fillId="21" borderId="0" xfId="2" applyNumberFormat="1" applyFont="1" applyFill="1" applyBorder="1" applyAlignment="1" applyProtection="1">
      <alignment vertical="top" wrapText="1"/>
    </xf>
    <xf numFmtId="165" fontId="37" fillId="21" borderId="0" xfId="2" applyFont="1" applyFill="1" applyBorder="1" applyAlignment="1" applyProtection="1">
      <alignment vertical="top" wrapText="1"/>
    </xf>
    <xf numFmtId="10" fontId="37" fillId="19" borderId="29" xfId="5" applyNumberFormat="1" applyFont="1" applyFill="1" applyBorder="1" applyAlignment="1" applyProtection="1">
      <alignment horizontal="center" vertical="top" wrapText="1"/>
    </xf>
    <xf numFmtId="0" fontId="37" fillId="20" borderId="0" xfId="0" applyFont="1" applyFill="1" applyBorder="1" applyAlignment="1">
      <alignment horizontal="center" vertical="center"/>
    </xf>
    <xf numFmtId="165" fontId="37" fillId="19" borderId="0" xfId="2" applyFont="1" applyFill="1" applyBorder="1" applyAlignment="1" applyProtection="1">
      <alignment horizontal="center" vertical="top"/>
    </xf>
    <xf numFmtId="165" fontId="33" fillId="19" borderId="0" xfId="2" applyFont="1" applyFill="1" applyBorder="1" applyAlignment="1" applyProtection="1">
      <alignment horizontal="center" vertical="top"/>
    </xf>
    <xf numFmtId="167" fontId="37" fillId="21" borderId="0" xfId="2" applyNumberFormat="1" applyFont="1" applyFill="1" applyBorder="1" applyAlignment="1" applyProtection="1">
      <alignment horizontal="center" vertical="top" wrapText="1"/>
    </xf>
    <xf numFmtId="165" fontId="37" fillId="21" borderId="0" xfId="2" applyFont="1" applyFill="1" applyBorder="1" applyAlignment="1" applyProtection="1">
      <alignment horizontal="center" vertical="top" wrapText="1"/>
    </xf>
    <xf numFmtId="0" fontId="37" fillId="0" borderId="13" xfId="0" applyFont="1" applyFill="1" applyBorder="1" applyAlignment="1">
      <alignment horizontal="center" vertical="top"/>
    </xf>
    <xf numFmtId="0" fontId="37" fillId="0" borderId="13" xfId="0" applyFont="1" applyFill="1" applyBorder="1" applyAlignment="1">
      <alignment horizontal="center" vertical="top" wrapText="1"/>
    </xf>
    <xf numFmtId="167" fontId="37" fillId="0" borderId="13" xfId="6" applyNumberFormat="1" applyFont="1" applyFill="1" applyBorder="1" applyAlignment="1">
      <alignment horizontal="center" vertical="top"/>
    </xf>
    <xf numFmtId="164" fontId="37" fillId="0" borderId="13" xfId="6" applyFont="1" applyFill="1" applyBorder="1" applyAlignment="1">
      <alignment horizontal="center" vertical="top"/>
    </xf>
    <xf numFmtId="164" fontId="37" fillId="0" borderId="13" xfId="6" applyFont="1" applyFill="1" applyBorder="1" applyAlignment="1">
      <alignment horizontal="center" vertical="top" wrapText="1"/>
    </xf>
    <xf numFmtId="0" fontId="37" fillId="20" borderId="14" xfId="0" applyFont="1" applyFill="1" applyBorder="1" applyAlignment="1">
      <alignment horizontal="center" vertical="top"/>
    </xf>
    <xf numFmtId="0" fontId="37" fillId="20" borderId="70" xfId="0" applyFont="1" applyFill="1" applyBorder="1" applyAlignment="1">
      <alignment horizontal="center" vertical="top"/>
    </xf>
    <xf numFmtId="165" fontId="35" fillId="20" borderId="70" xfId="2" applyFont="1" applyFill="1" applyBorder="1" applyAlignment="1" applyProtection="1">
      <alignment horizontal="center" vertical="top"/>
    </xf>
    <xf numFmtId="165" fontId="35" fillId="20" borderId="70" xfId="2" applyFont="1" applyFill="1" applyBorder="1" applyAlignment="1" applyProtection="1">
      <alignment horizontal="left" vertical="top"/>
    </xf>
    <xf numFmtId="167" fontId="37" fillId="20" borderId="70" xfId="6" applyNumberFormat="1" applyFont="1" applyFill="1" applyBorder="1" applyAlignment="1">
      <alignment horizontal="center" vertical="top"/>
    </xf>
    <xf numFmtId="164" fontId="37" fillId="20" borderId="70" xfId="6" applyFont="1" applyFill="1" applyBorder="1" applyAlignment="1">
      <alignment horizontal="center" vertical="top"/>
    </xf>
    <xf numFmtId="164" fontId="37" fillId="20" borderId="16" xfId="6" applyFont="1" applyFill="1" applyBorder="1" applyAlignment="1">
      <alignment horizontal="center" vertical="top"/>
    </xf>
    <xf numFmtId="165" fontId="36" fillId="0" borderId="28" xfId="2" applyFont="1" applyFill="1" applyBorder="1" applyAlignment="1" applyProtection="1">
      <alignment horizontal="center" vertical="top"/>
    </xf>
    <xf numFmtId="165" fontId="36" fillId="0" borderId="0" xfId="2" applyFont="1" applyFill="1" applyBorder="1" applyAlignment="1" applyProtection="1">
      <alignment horizontal="center" vertical="top"/>
    </xf>
    <xf numFmtId="165" fontId="36" fillId="0" borderId="0" xfId="2" applyFont="1" applyFill="1" applyBorder="1" applyAlignment="1" applyProtection="1">
      <alignment horizontal="center" vertical="top" wrapText="1"/>
    </xf>
    <xf numFmtId="165" fontId="36" fillId="0" borderId="0" xfId="2" applyFont="1" applyFill="1" applyBorder="1" applyAlignment="1" applyProtection="1">
      <alignment horizontal="left" vertical="top" wrapText="1"/>
    </xf>
    <xf numFmtId="167" fontId="32" fillId="0" borderId="0" xfId="1" applyNumberFormat="1" applyFont="1" applyFill="1" applyBorder="1" applyAlignment="1" applyProtection="1">
      <alignment vertical="top"/>
    </xf>
    <xf numFmtId="43" fontId="36" fillId="0" borderId="0" xfId="2" applyNumberFormat="1" applyFont="1" applyFill="1" applyBorder="1" applyAlignment="1" applyProtection="1">
      <alignment horizontal="right" vertical="top"/>
    </xf>
    <xf numFmtId="43" fontId="32" fillId="0" borderId="29" xfId="6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30" xfId="0" applyFont="1" applyFill="1" applyBorder="1" applyAlignment="1">
      <alignment vertical="top"/>
    </xf>
    <xf numFmtId="0" fontId="32" fillId="0" borderId="31" xfId="0" applyFont="1" applyFill="1" applyBorder="1" applyAlignment="1">
      <alignment horizontal="center" vertical="top"/>
    </xf>
    <xf numFmtId="0" fontId="37" fillId="0" borderId="31" xfId="0" applyFont="1" applyFill="1" applyBorder="1" applyAlignment="1">
      <alignment horizontal="left" vertical="top"/>
    </xf>
    <xf numFmtId="0" fontId="37" fillId="0" borderId="31" xfId="0" applyFont="1" applyFill="1" applyBorder="1" applyAlignment="1">
      <alignment horizontal="center" vertical="top"/>
    </xf>
    <xf numFmtId="167" fontId="37" fillId="0" borderId="31" xfId="6" applyNumberFormat="1" applyFont="1" applyFill="1" applyBorder="1" applyAlignment="1">
      <alignment vertical="top"/>
    </xf>
    <xf numFmtId="43" fontId="37" fillId="0" borderId="31" xfId="6" applyNumberFormat="1" applyFont="1" applyFill="1" applyBorder="1" applyAlignment="1">
      <alignment vertical="top"/>
    </xf>
    <xf numFmtId="164" fontId="32" fillId="0" borderId="0" xfId="0" applyNumberFormat="1" applyFont="1" applyFill="1" applyBorder="1" applyAlignment="1">
      <alignment vertical="top"/>
    </xf>
    <xf numFmtId="169" fontId="32" fillId="0" borderId="0" xfId="0" applyNumberFormat="1" applyFont="1" applyFill="1" applyBorder="1" applyAlignment="1">
      <alignment vertical="top"/>
    </xf>
    <xf numFmtId="43" fontId="32" fillId="0" borderId="0" xfId="0" applyNumberFormat="1" applyFont="1" applyFill="1" applyBorder="1" applyAlignment="1">
      <alignment vertical="top"/>
    </xf>
    <xf numFmtId="43" fontId="37" fillId="0" borderId="32" xfId="6" applyNumberFormat="1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37" fillId="20" borderId="70" xfId="0" applyFont="1" applyFill="1" applyBorder="1" applyAlignment="1">
      <alignment horizontal="center"/>
    </xf>
    <xf numFmtId="0" fontId="37" fillId="20" borderId="70" xfId="0" applyFont="1" applyFill="1" applyBorder="1" applyAlignment="1"/>
    <xf numFmtId="167" fontId="37" fillId="20" borderId="70" xfId="0" applyNumberFormat="1" applyFont="1" applyFill="1" applyBorder="1" applyAlignment="1"/>
    <xf numFmtId="43" fontId="37" fillId="20" borderId="70" xfId="0" applyNumberFormat="1" applyFont="1" applyFill="1" applyBorder="1" applyAlignment="1"/>
    <xf numFmtId="43" fontId="37" fillId="20" borderId="16" xfId="0" applyNumberFormat="1" applyFont="1" applyFill="1" applyBorder="1" applyAlignment="1"/>
    <xf numFmtId="0" fontId="32" fillId="0" borderId="30" xfId="0" applyFont="1" applyFill="1" applyBorder="1" applyAlignment="1">
      <alignment horizontal="center" vertical="top"/>
    </xf>
    <xf numFmtId="43" fontId="36" fillId="0" borderId="31" xfId="1" applyNumberFormat="1" applyFont="1" applyFill="1" applyBorder="1" applyAlignment="1" applyProtection="1">
      <alignment vertical="top"/>
    </xf>
    <xf numFmtId="0" fontId="32" fillId="0" borderId="28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top"/>
    </xf>
    <xf numFmtId="167" fontId="37" fillId="0" borderId="0" xfId="6" applyNumberFormat="1" applyFont="1" applyFill="1" applyBorder="1" applyAlignment="1">
      <alignment vertical="top"/>
    </xf>
    <xf numFmtId="43" fontId="37" fillId="0" borderId="0" xfId="6" applyNumberFormat="1" applyFont="1" applyFill="1" applyBorder="1" applyAlignment="1">
      <alignment vertical="top"/>
    </xf>
    <xf numFmtId="43" fontId="36" fillId="0" borderId="0" xfId="1" applyNumberFormat="1" applyFont="1" applyFill="1" applyBorder="1" applyAlignment="1" applyProtection="1">
      <alignment vertical="top"/>
    </xf>
    <xf numFmtId="43" fontId="37" fillId="0" borderId="29" xfId="6" applyNumberFormat="1" applyFont="1" applyFill="1" applyBorder="1" applyAlignment="1">
      <alignment vertical="top" wrapText="1"/>
    </xf>
    <xf numFmtId="43" fontId="37" fillId="0" borderId="0" xfId="0" applyNumberFormat="1" applyFont="1" applyFill="1" applyBorder="1" applyAlignment="1">
      <alignment vertical="top"/>
    </xf>
    <xf numFmtId="0" fontId="37" fillId="20" borderId="28" xfId="0" applyFont="1" applyFill="1" applyBorder="1" applyAlignment="1">
      <alignment vertical="top"/>
    </xf>
    <xf numFmtId="0" fontId="37" fillId="20" borderId="0" xfId="0" applyFont="1" applyFill="1" applyBorder="1" applyAlignment="1">
      <alignment vertical="top"/>
    </xf>
    <xf numFmtId="0" fontId="37" fillId="31" borderId="0" xfId="98" applyFont="1" applyFill="1" applyBorder="1" applyAlignment="1">
      <alignment vertical="top" wrapText="1"/>
    </xf>
    <xf numFmtId="2" fontId="32" fillId="31" borderId="0" xfId="98" applyNumberFormat="1" applyFont="1" applyFill="1" applyBorder="1" applyAlignment="1">
      <alignment vertical="top"/>
    </xf>
    <xf numFmtId="4" fontId="37" fillId="31" borderId="12" xfId="98" applyNumberFormat="1" applyFont="1" applyFill="1" applyBorder="1" applyAlignment="1">
      <alignment horizontal="right" vertical="top"/>
    </xf>
    <xf numFmtId="10" fontId="41" fillId="31" borderId="0" xfId="5" applyNumberFormat="1" applyFont="1" applyFill="1" applyBorder="1" applyAlignment="1">
      <alignment vertical="top" wrapText="1"/>
    </xf>
    <xf numFmtId="10" fontId="42" fillId="31" borderId="0" xfId="98" applyNumberFormat="1" applyFont="1" applyFill="1" applyBorder="1" applyAlignment="1">
      <alignment horizontal="center" vertical="top"/>
    </xf>
    <xf numFmtId="4" fontId="37" fillId="31" borderId="13" xfId="98" applyNumberFormat="1" applyFont="1" applyFill="1" applyBorder="1" applyAlignment="1">
      <alignment horizontal="right" vertical="top"/>
    </xf>
    <xf numFmtId="0" fontId="32" fillId="20" borderId="30" xfId="0" applyFont="1" applyFill="1" applyBorder="1" applyAlignment="1">
      <alignment vertical="top"/>
    </xf>
    <xf numFmtId="0" fontId="32" fillId="20" borderId="31" xfId="0" applyFont="1" applyFill="1" applyBorder="1" applyAlignment="1">
      <alignment vertical="top"/>
    </xf>
    <xf numFmtId="0" fontId="37" fillId="31" borderId="31" xfId="98" applyFont="1" applyFill="1" applyBorder="1" applyAlignment="1">
      <alignment vertical="top" wrapText="1"/>
    </xf>
    <xf numFmtId="2" fontId="32" fillId="31" borderId="31" xfId="98" applyNumberFormat="1" applyFont="1" applyFill="1" applyBorder="1" applyAlignment="1">
      <alignment vertical="top"/>
    </xf>
    <xf numFmtId="4" fontId="40" fillId="31" borderId="13" xfId="98" applyNumberFormat="1" applyFont="1" applyFill="1" applyBorder="1" applyAlignment="1">
      <alignment horizontal="right" vertical="top"/>
    </xf>
    <xf numFmtId="167" fontId="32" fillId="0" borderId="0" xfId="6" applyNumberFormat="1" applyFont="1" applyFill="1" applyBorder="1" applyAlignment="1">
      <alignment horizontal="center" vertical="top"/>
    </xf>
    <xf numFmtId="164" fontId="32" fillId="0" borderId="0" xfId="6" applyFont="1" applyFill="1" applyBorder="1" applyAlignment="1">
      <alignment horizontal="center" vertical="top"/>
    </xf>
    <xf numFmtId="0" fontId="31" fillId="20" borderId="43" xfId="0" applyFont="1" applyFill="1" applyBorder="1"/>
    <xf numFmtId="0" fontId="31" fillId="20" borderId="44" xfId="0" applyFont="1" applyFill="1" applyBorder="1"/>
    <xf numFmtId="0" fontId="31" fillId="20" borderId="0" xfId="0" applyFont="1" applyFill="1" applyBorder="1"/>
    <xf numFmtId="0" fontId="31" fillId="20" borderId="24" xfId="0" applyFont="1" applyFill="1" applyBorder="1"/>
    <xf numFmtId="0" fontId="31" fillId="0" borderId="0" xfId="0" applyFont="1"/>
    <xf numFmtId="4" fontId="31" fillId="18" borderId="0" xfId="0" applyNumberFormat="1" applyFont="1" applyFill="1" applyBorder="1" applyAlignment="1">
      <alignment vertical="center"/>
    </xf>
    <xf numFmtId="4" fontId="31" fillId="18" borderId="24" xfId="0" applyNumberFormat="1" applyFont="1" applyFill="1" applyBorder="1" applyAlignment="1">
      <alignment vertical="center"/>
    </xf>
    <xf numFmtId="4" fontId="31" fillId="18" borderId="23" xfId="0" applyNumberFormat="1" applyFont="1" applyFill="1" applyBorder="1" applyAlignment="1">
      <alignment vertical="center" wrapText="1"/>
    </xf>
    <xf numFmtId="4" fontId="31" fillId="18" borderId="0" xfId="0" applyNumberFormat="1" applyFont="1" applyFill="1" applyBorder="1" applyAlignment="1">
      <alignment vertical="center" wrapText="1"/>
    </xf>
    <xf numFmtId="4" fontId="31" fillId="18" borderId="24" xfId="0" applyNumberFormat="1" applyFont="1" applyFill="1" applyBorder="1" applyAlignment="1">
      <alignment vertical="center" wrapText="1"/>
    </xf>
    <xf numFmtId="0" fontId="40" fillId="20" borderId="0" xfId="0" applyFont="1" applyFill="1" applyBorder="1" applyAlignment="1"/>
    <xf numFmtId="0" fontId="40" fillId="20" borderId="24" xfId="0" applyFont="1" applyFill="1" applyBorder="1" applyAlignment="1"/>
    <xf numFmtId="0" fontId="31" fillId="20" borderId="45" xfId="0" applyFont="1" applyFill="1" applyBorder="1"/>
    <xf numFmtId="0" fontId="40" fillId="20" borderId="12" xfId="0" applyFont="1" applyFill="1" applyBorder="1" applyAlignment="1">
      <alignment horizontal="center"/>
    </xf>
    <xf numFmtId="164" fontId="40" fillId="20" borderId="12" xfId="6" applyFont="1" applyFill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60" xfId="0" applyFont="1" applyBorder="1" applyAlignment="1">
      <alignment horizontal="left"/>
    </xf>
    <xf numFmtId="164" fontId="40" fillId="0" borderId="60" xfId="6" applyFont="1" applyBorder="1" applyAlignment="1">
      <alignment horizontal="center"/>
    </xf>
    <xf numFmtId="164" fontId="40" fillId="0" borderId="61" xfId="6" applyFont="1" applyBorder="1" applyAlignment="1">
      <alignment horizontal="center"/>
    </xf>
    <xf numFmtId="164" fontId="40" fillId="0" borderId="62" xfId="6" applyFont="1" applyBorder="1" applyAlignment="1">
      <alignment horizontal="center"/>
    </xf>
    <xf numFmtId="0" fontId="40" fillId="0" borderId="33" xfId="0" applyFont="1" applyBorder="1" applyAlignment="1">
      <alignment horizontal="center" vertical="top"/>
    </xf>
    <xf numFmtId="0" fontId="40" fillId="0" borderId="34" xfId="0" applyFont="1" applyBorder="1" applyAlignment="1">
      <alignment horizontal="left" vertical="top"/>
    </xf>
    <xf numFmtId="10" fontId="31" fillId="0" borderId="34" xfId="5" applyNumberFormat="1" applyFont="1" applyBorder="1" applyAlignment="1">
      <alignment horizontal="center" vertical="top"/>
    </xf>
    <xf numFmtId="43" fontId="31" fillId="0" borderId="34" xfId="6" applyNumberFormat="1" applyFont="1" applyBorder="1" applyAlignment="1">
      <alignment vertical="top"/>
    </xf>
    <xf numFmtId="43" fontId="40" fillId="0" borderId="35" xfId="6" applyNumberFormat="1" applyFont="1" applyBorder="1" applyAlignment="1">
      <alignment vertical="top"/>
    </xf>
    <xf numFmtId="43" fontId="31" fillId="0" borderId="35" xfId="6" applyNumberFormat="1" applyFont="1" applyBorder="1" applyAlignment="1">
      <alignment vertical="top"/>
    </xf>
    <xf numFmtId="0" fontId="40" fillId="0" borderId="36" xfId="0" applyFont="1" applyBorder="1" applyAlignment="1">
      <alignment horizontal="center" vertical="top"/>
    </xf>
    <xf numFmtId="0" fontId="40" fillId="0" borderId="37" xfId="0" applyFont="1" applyBorder="1" applyAlignment="1">
      <alignment horizontal="left" vertical="top"/>
    </xf>
    <xf numFmtId="164" fontId="31" fillId="0" borderId="37" xfId="6" applyFont="1" applyBorder="1" applyAlignment="1">
      <alignment horizontal="center" vertical="top"/>
    </xf>
    <xf numFmtId="164" fontId="40" fillId="0" borderId="38" xfId="6" applyFont="1" applyBorder="1" applyAlignment="1">
      <alignment vertical="top"/>
    </xf>
    <xf numFmtId="0" fontId="40" fillId="0" borderId="39" xfId="0" applyFont="1" applyBorder="1" applyAlignment="1">
      <alignment horizontal="center" vertical="top"/>
    </xf>
    <xf numFmtId="0" fontId="40" fillId="0" borderId="40" xfId="0" applyFont="1" applyBorder="1" applyAlignment="1">
      <alignment vertical="top"/>
    </xf>
    <xf numFmtId="164" fontId="31" fillId="0" borderId="40" xfId="6" applyFont="1" applyBorder="1" applyAlignment="1">
      <alignment horizontal="center" vertical="top"/>
    </xf>
    <xf numFmtId="10" fontId="31" fillId="0" borderId="40" xfId="6" applyNumberFormat="1" applyFont="1" applyBorder="1" applyAlignment="1">
      <alignment horizontal="center" vertical="top"/>
    </xf>
    <xf numFmtId="164" fontId="40" fillId="0" borderId="41" xfId="6" applyFont="1" applyBorder="1" applyAlignment="1">
      <alignment vertical="top"/>
    </xf>
    <xf numFmtId="10" fontId="31" fillId="0" borderId="0" xfId="0" applyNumberFormat="1" applyFont="1"/>
    <xf numFmtId="0" fontId="40" fillId="0" borderId="63" xfId="0" applyFont="1" applyBorder="1" applyAlignment="1">
      <alignment horizontal="center" vertical="top"/>
    </xf>
    <xf numFmtId="0" fontId="40" fillId="0" borderId="64" xfId="0" applyFont="1" applyBorder="1" applyAlignment="1">
      <alignment vertical="top"/>
    </xf>
    <xf numFmtId="164" fontId="31" fillId="0" borderId="64" xfId="6" applyFont="1" applyBorder="1" applyAlignment="1">
      <alignment horizontal="center" vertical="top"/>
    </xf>
    <xf numFmtId="164" fontId="40" fillId="0" borderId="65" xfId="6" applyFont="1" applyBorder="1" applyAlignment="1">
      <alignment vertical="top"/>
    </xf>
    <xf numFmtId="0" fontId="40" fillId="0" borderId="76" xfId="0" applyFont="1" applyBorder="1" applyAlignment="1">
      <alignment horizontal="center" vertical="top"/>
    </xf>
    <xf numFmtId="0" fontId="40" fillId="0" borderId="77" xfId="0" applyFont="1" applyBorder="1" applyAlignment="1">
      <alignment vertical="top"/>
    </xf>
    <xf numFmtId="164" fontId="31" fillId="0" borderId="77" xfId="6" applyFont="1" applyBorder="1" applyAlignment="1">
      <alignment horizontal="center" vertical="top"/>
    </xf>
    <xf numFmtId="164" fontId="40" fillId="0" borderId="78" xfId="6" applyFont="1" applyBorder="1" applyAlignment="1">
      <alignment vertical="top"/>
    </xf>
    <xf numFmtId="0" fontId="40" fillId="0" borderId="66" xfId="0" applyFont="1" applyBorder="1" applyAlignment="1">
      <alignment horizontal="center" vertical="top"/>
    </xf>
    <xf numFmtId="0" fontId="31" fillId="0" borderId="67" xfId="0" applyFont="1" applyBorder="1" applyAlignment="1">
      <alignment vertical="top"/>
    </xf>
    <xf numFmtId="164" fontId="31" fillId="0" borderId="67" xfId="6" applyFont="1" applyBorder="1" applyAlignment="1">
      <alignment vertical="top"/>
    </xf>
    <xf numFmtId="9" fontId="31" fillId="0" borderId="67" xfId="6" applyNumberFormat="1" applyFont="1" applyBorder="1" applyAlignment="1">
      <alignment horizontal="center" vertical="top"/>
    </xf>
    <xf numFmtId="9" fontId="31" fillId="0" borderId="68" xfId="6" applyNumberFormat="1" applyFont="1" applyBorder="1" applyAlignment="1">
      <alignment horizontal="center" vertical="top"/>
    </xf>
    <xf numFmtId="164" fontId="40" fillId="0" borderId="69" xfId="6" applyFont="1" applyBorder="1" applyAlignment="1">
      <alignment vertical="top"/>
    </xf>
    <xf numFmtId="0" fontId="31" fillId="0" borderId="9" xfId="0" applyFont="1" applyBorder="1" applyAlignment="1">
      <alignment vertical="top"/>
    </xf>
    <xf numFmtId="0" fontId="40" fillId="18" borderId="10" xfId="0" applyFont="1" applyFill="1" applyBorder="1" applyAlignment="1">
      <alignment vertical="top"/>
    </xf>
    <xf numFmtId="9" fontId="31" fillId="0" borderId="34" xfId="5" applyFont="1" applyBorder="1" applyAlignment="1">
      <alignment horizontal="center" vertical="top"/>
    </xf>
    <xf numFmtId="43" fontId="31" fillId="0" borderId="34" xfId="5" applyNumberFormat="1" applyFont="1" applyBorder="1" applyAlignment="1">
      <alignment horizontal="center" vertical="top"/>
    </xf>
    <xf numFmtId="43" fontId="40" fillId="0" borderId="13" xfId="6" applyNumberFormat="1" applyFont="1" applyBorder="1" applyAlignment="1">
      <alignment vertical="top"/>
    </xf>
    <xf numFmtId="0" fontId="31" fillId="0" borderId="72" xfId="0" applyFont="1" applyBorder="1" applyAlignment="1">
      <alignment vertical="top"/>
    </xf>
    <xf numFmtId="0" fontId="40" fillId="18" borderId="71" xfId="0" applyFont="1" applyFill="1" applyBorder="1" applyAlignment="1">
      <alignment horizontal="left" vertical="top"/>
    </xf>
    <xf numFmtId="0" fontId="40" fillId="18" borderId="71" xfId="0" applyFont="1" applyFill="1" applyBorder="1" applyAlignment="1">
      <alignment horizontal="right" vertical="top"/>
    </xf>
    <xf numFmtId="0" fontId="40" fillId="18" borderId="33" xfId="0" applyFont="1" applyFill="1" applyBorder="1" applyAlignment="1">
      <alignment horizontal="left" vertical="top"/>
    </xf>
    <xf numFmtId="0" fontId="40" fillId="20" borderId="52" xfId="0" applyFont="1" applyFill="1" applyBorder="1" applyAlignment="1">
      <alignment horizontal="left" vertical="top"/>
    </xf>
    <xf numFmtId="0" fontId="40" fillId="20" borderId="53" xfId="0" applyFont="1" applyFill="1" applyBorder="1" applyAlignment="1">
      <alignment horizontal="left" vertical="top"/>
    </xf>
    <xf numFmtId="43" fontId="40" fillId="0" borderId="13" xfId="0" applyNumberFormat="1" applyFont="1" applyBorder="1"/>
    <xf numFmtId="43" fontId="31" fillId="0" borderId="0" xfId="0" applyNumberFormat="1" applyFont="1"/>
    <xf numFmtId="43" fontId="31" fillId="0" borderId="37" xfId="6" applyNumberFormat="1" applyFont="1" applyBorder="1" applyAlignment="1">
      <alignment vertical="top"/>
    </xf>
    <xf numFmtId="43" fontId="31" fillId="0" borderId="58" xfId="6" applyNumberFormat="1" applyFont="1" applyBorder="1" applyAlignment="1">
      <alignment vertical="top"/>
    </xf>
    <xf numFmtId="10" fontId="31" fillId="0" borderId="37" xfId="5" applyNumberFormat="1" applyFont="1" applyBorder="1" applyAlignment="1">
      <alignment horizontal="center" vertical="top"/>
    </xf>
    <xf numFmtId="43" fontId="31" fillId="0" borderId="41" xfId="0" applyNumberFormat="1" applyFont="1" applyBorder="1" applyAlignment="1">
      <alignment vertical="top"/>
    </xf>
    <xf numFmtId="171" fontId="32" fillId="0" borderId="0" xfId="0" applyNumberFormat="1" applyFont="1" applyFill="1"/>
    <xf numFmtId="164" fontId="31" fillId="33" borderId="37" xfId="6" applyFont="1" applyFill="1" applyBorder="1" applyAlignment="1">
      <alignment vertical="top"/>
    </xf>
    <xf numFmtId="0" fontId="36" fillId="0" borderId="13" xfId="104" applyFont="1" applyFill="1" applyBorder="1" applyAlignment="1">
      <alignment horizontal="left" vertical="center" wrapText="1"/>
    </xf>
    <xf numFmtId="172" fontId="36" fillId="0" borderId="13" xfId="104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top"/>
    </xf>
    <xf numFmtId="0" fontId="36" fillId="0" borderId="0" xfId="104" applyFont="1" applyFill="1" applyBorder="1" applyAlignment="1">
      <alignment horizontal="left" vertical="center" wrapText="1"/>
    </xf>
    <xf numFmtId="172" fontId="36" fillId="0" borderId="0" xfId="104" applyNumberFormat="1" applyFont="1" applyFill="1" applyBorder="1" applyAlignment="1">
      <alignment horizontal="center" vertical="center" wrapText="1"/>
    </xf>
    <xf numFmtId="43" fontId="36" fillId="0" borderId="12" xfId="104" applyNumberFormat="1" applyFont="1" applyFill="1" applyBorder="1" applyAlignment="1">
      <alignment horizontal="center" vertical="center" wrapText="1"/>
    </xf>
    <xf numFmtId="0" fontId="37" fillId="0" borderId="88" xfId="0" applyFont="1" applyFill="1" applyBorder="1" applyAlignment="1">
      <alignment horizontal="center" vertical="center"/>
    </xf>
    <xf numFmtId="172" fontId="32" fillId="0" borderId="0" xfId="0" applyNumberFormat="1" applyFont="1" applyFill="1"/>
    <xf numFmtId="0" fontId="37" fillId="0" borderId="0" xfId="0" applyFont="1" applyFill="1" applyBorder="1" applyAlignment="1">
      <alignment horizontal="center" vertical="center"/>
    </xf>
    <xf numFmtId="43" fontId="37" fillId="0" borderId="29" xfId="6" applyNumberFormat="1" applyFont="1" applyFill="1" applyBorder="1" applyAlignment="1">
      <alignment vertical="top"/>
    </xf>
    <xf numFmtId="0" fontId="37" fillId="0" borderId="0" xfId="0" applyFont="1" applyFill="1" applyBorder="1" applyAlignment="1">
      <alignment vertical="center"/>
    </xf>
    <xf numFmtId="2" fontId="36" fillId="0" borderId="12" xfId="104" applyNumberFormat="1" applyFont="1" applyFill="1" applyBorder="1" applyAlignment="1">
      <alignment horizontal="center" vertical="center" wrapText="1"/>
    </xf>
    <xf numFmtId="1" fontId="36" fillId="0" borderId="12" xfId="104" applyNumberFormat="1" applyFont="1" applyFill="1" applyBorder="1" applyAlignment="1">
      <alignment horizontal="center" vertical="center" wrapText="1"/>
    </xf>
    <xf numFmtId="2" fontId="36" fillId="0" borderId="12" xfId="104" applyNumberFormat="1" applyFont="1" applyFill="1" applyBorder="1" applyAlignment="1">
      <alignment horizontal="left" vertical="center" wrapText="1"/>
    </xf>
    <xf numFmtId="172" fontId="36" fillId="0" borderId="12" xfId="104" applyNumberFormat="1" applyFont="1" applyFill="1" applyBorder="1" applyAlignment="1">
      <alignment horizontal="center" vertical="center" wrapText="1"/>
    </xf>
    <xf numFmtId="0" fontId="36" fillId="0" borderId="16" xfId="104" applyFont="1" applyFill="1" applyBorder="1" applyAlignment="1">
      <alignment horizontal="center" vertical="center" wrapText="1"/>
    </xf>
    <xf numFmtId="10" fontId="31" fillId="0" borderId="77" xfId="6" applyNumberFormat="1" applyFont="1" applyBorder="1" applyAlignment="1">
      <alignment horizontal="center" vertical="top"/>
    </xf>
    <xf numFmtId="0" fontId="31" fillId="20" borderId="49" xfId="0" applyFont="1" applyFill="1" applyBorder="1"/>
    <xf numFmtId="0" fontId="31" fillId="20" borderId="51" xfId="0" applyFont="1" applyFill="1" applyBorder="1"/>
    <xf numFmtId="0" fontId="31" fillId="20" borderId="50" xfId="0" applyFont="1" applyFill="1" applyBorder="1"/>
    <xf numFmtId="0" fontId="33" fillId="20" borderId="23" xfId="0" applyFont="1" applyFill="1" applyBorder="1" applyAlignment="1">
      <alignment horizontal="left" vertical="center"/>
    </xf>
    <xf numFmtId="0" fontId="33" fillId="20" borderId="24" xfId="0" applyFont="1" applyFill="1" applyBorder="1" applyAlignment="1">
      <alignment horizontal="left" vertical="center"/>
    </xf>
    <xf numFmtId="2" fontId="32" fillId="0" borderId="0" xfId="0" applyNumberFormat="1" applyFont="1" applyFill="1"/>
    <xf numFmtId="0" fontId="43" fillId="0" borderId="0" xfId="0" applyFont="1" applyFill="1"/>
    <xf numFmtId="0" fontId="37" fillId="0" borderId="0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vertical="top"/>
    </xf>
    <xf numFmtId="0" fontId="32" fillId="34" borderId="70" xfId="0" applyFont="1" applyFill="1" applyBorder="1" applyAlignment="1">
      <alignment horizontal="center" vertical="top"/>
    </xf>
    <xf numFmtId="0" fontId="37" fillId="34" borderId="70" xfId="0" applyFont="1" applyFill="1" applyBorder="1" applyAlignment="1">
      <alignment horizontal="left" vertical="top"/>
    </xf>
    <xf numFmtId="0" fontId="37" fillId="34" borderId="70" xfId="0" applyFont="1" applyFill="1" applyBorder="1" applyAlignment="1">
      <alignment horizontal="center" vertical="top"/>
    </xf>
    <xf numFmtId="167" fontId="37" fillId="34" borderId="70" xfId="6" applyNumberFormat="1" applyFont="1" applyFill="1" applyBorder="1" applyAlignment="1">
      <alignment vertical="top"/>
    </xf>
    <xf numFmtId="43" fontId="37" fillId="34" borderId="70" xfId="6" applyNumberFormat="1" applyFont="1" applyFill="1" applyBorder="1" applyAlignment="1">
      <alignment vertical="top"/>
    </xf>
    <xf numFmtId="43" fontId="36" fillId="34" borderId="70" xfId="1" applyNumberFormat="1" applyFont="1" applyFill="1" applyBorder="1" applyAlignment="1" applyProtection="1">
      <alignment vertical="top"/>
    </xf>
    <xf numFmtId="43" fontId="37" fillId="34" borderId="16" xfId="6" applyNumberFormat="1" applyFont="1" applyFill="1" applyBorder="1" applyAlignment="1">
      <alignment vertical="top" wrapText="1"/>
    </xf>
    <xf numFmtId="0" fontId="32" fillId="34" borderId="30" xfId="0" applyFont="1" applyFill="1" applyBorder="1" applyAlignment="1">
      <alignment vertical="top"/>
    </xf>
    <xf numFmtId="0" fontId="32" fillId="34" borderId="31" xfId="0" applyFont="1" applyFill="1" applyBorder="1" applyAlignment="1">
      <alignment horizontal="center" vertical="top"/>
    </xf>
    <xf numFmtId="0" fontId="37" fillId="34" borderId="70" xfId="0" applyFont="1" applyFill="1" applyBorder="1" applyAlignment="1">
      <alignment horizontal="center" vertical="center"/>
    </xf>
    <xf numFmtId="0" fontId="37" fillId="34" borderId="31" xfId="0" applyFont="1" applyFill="1" applyBorder="1" applyAlignment="1">
      <alignment horizontal="center" vertical="top"/>
    </xf>
    <xf numFmtId="167" fontId="37" fillId="34" borderId="31" xfId="6" applyNumberFormat="1" applyFont="1" applyFill="1" applyBorder="1" applyAlignment="1">
      <alignment vertical="top"/>
    </xf>
    <xf numFmtId="43" fontId="37" fillId="34" borderId="31" xfId="6" applyNumberFormat="1" applyFont="1" applyFill="1" applyBorder="1" applyAlignment="1">
      <alignment vertical="top"/>
    </xf>
    <xf numFmtId="43" fontId="37" fillId="34" borderId="32" xfId="6" applyNumberFormat="1" applyFont="1" applyFill="1" applyBorder="1" applyAlignment="1">
      <alignment vertical="top"/>
    </xf>
    <xf numFmtId="0" fontId="37" fillId="34" borderId="70" xfId="0" applyFont="1" applyFill="1" applyBorder="1" applyAlignment="1">
      <alignment vertical="center"/>
    </xf>
    <xf numFmtId="0" fontId="32" fillId="35" borderId="30" xfId="0" applyFont="1" applyFill="1" applyBorder="1" applyAlignment="1">
      <alignment vertical="top"/>
    </xf>
    <xf numFmtId="0" fontId="32" fillId="35" borderId="31" xfId="0" applyFont="1" applyFill="1" applyBorder="1" applyAlignment="1">
      <alignment horizontal="center" vertical="top"/>
    </xf>
    <xf numFmtId="0" fontId="37" fillId="35" borderId="31" xfId="0" applyFont="1" applyFill="1" applyBorder="1" applyAlignment="1">
      <alignment horizontal="left" vertical="top"/>
    </xf>
    <xf numFmtId="0" fontId="37" fillId="35" borderId="31" xfId="0" applyFont="1" applyFill="1" applyBorder="1" applyAlignment="1">
      <alignment horizontal="center" vertical="top"/>
    </xf>
    <xf numFmtId="167" fontId="37" fillId="35" borderId="31" xfId="6" applyNumberFormat="1" applyFont="1" applyFill="1" applyBorder="1" applyAlignment="1">
      <alignment vertical="top"/>
    </xf>
    <xf numFmtId="43" fontId="37" fillId="35" borderId="31" xfId="6" applyNumberFormat="1" applyFont="1" applyFill="1" applyBorder="1" applyAlignment="1">
      <alignment vertical="top"/>
    </xf>
    <xf numFmtId="43" fontId="37" fillId="35" borderId="32" xfId="6" applyNumberFormat="1" applyFont="1" applyFill="1" applyBorder="1" applyAlignment="1">
      <alignment vertical="top"/>
    </xf>
    <xf numFmtId="0" fontId="32" fillId="35" borderId="28" xfId="0" applyFont="1" applyFill="1" applyBorder="1" applyAlignment="1">
      <alignment horizontal="center" vertical="top"/>
    </xf>
    <xf numFmtId="0" fontId="32" fillId="35" borderId="0" xfId="0" applyFont="1" applyFill="1" applyBorder="1" applyAlignment="1">
      <alignment horizontal="center" vertical="top"/>
    </xf>
    <xf numFmtId="0" fontId="37" fillId="35" borderId="0" xfId="0" applyFont="1" applyFill="1" applyBorder="1" applyAlignment="1">
      <alignment horizontal="left" vertical="top"/>
    </xf>
    <xf numFmtId="0" fontId="37" fillId="35" borderId="0" xfId="0" applyFont="1" applyFill="1" applyBorder="1" applyAlignment="1">
      <alignment horizontal="center" vertical="top"/>
    </xf>
    <xf numFmtId="167" fontId="37" fillId="35" borderId="0" xfId="6" applyNumberFormat="1" applyFont="1" applyFill="1" applyBorder="1" applyAlignment="1">
      <alignment vertical="top"/>
    </xf>
    <xf numFmtId="43" fontId="37" fillId="35" borderId="0" xfId="6" applyNumberFormat="1" applyFont="1" applyFill="1" applyBorder="1" applyAlignment="1">
      <alignment vertical="top"/>
    </xf>
    <xf numFmtId="43" fontId="36" fillId="35" borderId="0" xfId="1" applyNumberFormat="1" applyFont="1" applyFill="1" applyBorder="1" applyAlignment="1" applyProtection="1">
      <alignment vertical="top"/>
    </xf>
    <xf numFmtId="43" fontId="37" fillId="35" borderId="29" xfId="6" applyNumberFormat="1" applyFont="1" applyFill="1" applyBorder="1" applyAlignment="1">
      <alignment vertical="top"/>
    </xf>
    <xf numFmtId="165" fontId="36" fillId="0" borderId="0" xfId="2" applyFont="1" applyFill="1" applyBorder="1" applyAlignment="1" applyProtection="1">
      <alignment horizontal="justify" vertical="top" wrapText="1"/>
    </xf>
    <xf numFmtId="0" fontId="32" fillId="35" borderId="14" xfId="0" applyFont="1" applyFill="1" applyBorder="1" applyAlignment="1">
      <alignment horizontal="center" vertical="top"/>
    </xf>
    <xf numFmtId="0" fontId="32" fillId="35" borderId="70" xfId="0" applyFont="1" applyFill="1" applyBorder="1" applyAlignment="1">
      <alignment horizontal="center" vertical="top"/>
    </xf>
    <xf numFmtId="0" fontId="37" fillId="35" borderId="70" xfId="0" applyFont="1" applyFill="1" applyBorder="1" applyAlignment="1">
      <alignment horizontal="left" vertical="top"/>
    </xf>
    <xf numFmtId="0" fontId="37" fillId="35" borderId="70" xfId="0" applyFont="1" applyFill="1" applyBorder="1" applyAlignment="1">
      <alignment horizontal="center" vertical="top"/>
    </xf>
    <xf numFmtId="167" fontId="37" fillId="35" borderId="70" xfId="6" applyNumberFormat="1" applyFont="1" applyFill="1" applyBorder="1" applyAlignment="1">
      <alignment vertical="top"/>
    </xf>
    <xf numFmtId="43" fontId="37" fillId="35" borderId="70" xfId="6" applyNumberFormat="1" applyFont="1" applyFill="1" applyBorder="1" applyAlignment="1">
      <alignment vertical="top"/>
    </xf>
    <xf numFmtId="43" fontId="36" fillId="35" borderId="70" xfId="1" applyNumberFormat="1" applyFont="1" applyFill="1" applyBorder="1" applyAlignment="1" applyProtection="1">
      <alignment vertical="top"/>
    </xf>
    <xf numFmtId="43" fontId="37" fillId="35" borderId="16" xfId="6" applyNumberFormat="1" applyFont="1" applyFill="1" applyBorder="1" applyAlignment="1">
      <alignment vertical="top"/>
    </xf>
    <xf numFmtId="0" fontId="40" fillId="18" borderId="39" xfId="0" applyFont="1" applyFill="1" applyBorder="1" applyAlignment="1">
      <alignment horizontal="left" vertical="top"/>
    </xf>
    <xf numFmtId="0" fontId="40" fillId="18" borderId="40" xfId="0" applyFont="1" applyFill="1" applyBorder="1" applyAlignment="1">
      <alignment horizontal="left" vertical="top"/>
    </xf>
    <xf numFmtId="0" fontId="40" fillId="18" borderId="36" xfId="0" applyFont="1" applyFill="1" applyBorder="1" applyAlignment="1">
      <alignment horizontal="left" vertical="top"/>
    </xf>
    <xf numFmtId="0" fontId="40" fillId="18" borderId="37" xfId="0" applyFont="1" applyFill="1" applyBorder="1" applyAlignment="1">
      <alignment horizontal="left" vertical="top"/>
    </xf>
    <xf numFmtId="0" fontId="40" fillId="20" borderId="23" xfId="0" applyFont="1" applyFill="1" applyBorder="1" applyAlignment="1">
      <alignment horizontal="center"/>
    </xf>
    <xf numFmtId="0" fontId="40" fillId="20" borderId="0" xfId="0" applyFont="1" applyFill="1" applyBorder="1" applyAlignment="1">
      <alignment horizontal="center"/>
    </xf>
    <xf numFmtId="4" fontId="32" fillId="20" borderId="23" xfId="4" applyNumberFormat="1" applyFont="1" applyFill="1" applyBorder="1" applyAlignment="1">
      <alignment horizontal="left" vertical="center" wrapText="1"/>
    </xf>
    <xf numFmtId="4" fontId="32" fillId="20" borderId="0" xfId="4" applyNumberFormat="1" applyFont="1" applyFill="1" applyBorder="1" applyAlignment="1">
      <alignment horizontal="left" vertical="center" wrapText="1"/>
    </xf>
    <xf numFmtId="0" fontId="37" fillId="31" borderId="31" xfId="98" applyFont="1" applyFill="1" applyBorder="1" applyAlignment="1">
      <alignment horizontal="right" vertical="top" wrapText="1"/>
    </xf>
    <xf numFmtId="0" fontId="37" fillId="18" borderId="10" xfId="0" applyFont="1" applyFill="1" applyBorder="1" applyAlignment="1">
      <alignment horizontal="center" vertical="center"/>
    </xf>
    <xf numFmtId="0" fontId="37" fillId="18" borderId="71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top"/>
    </xf>
    <xf numFmtId="0" fontId="37" fillId="0" borderId="70" xfId="0" applyFont="1" applyFill="1" applyBorder="1" applyAlignment="1">
      <alignment horizontal="center" vertical="top"/>
    </xf>
    <xf numFmtId="0" fontId="37" fillId="0" borderId="16" xfId="0" applyFont="1" applyFill="1" applyBorder="1" applyAlignment="1">
      <alignment horizontal="center" vertical="top"/>
    </xf>
    <xf numFmtId="0" fontId="32" fillId="20" borderId="14" xfId="0" applyFont="1" applyFill="1" applyBorder="1" applyAlignment="1">
      <alignment horizontal="center" vertical="top"/>
    </xf>
    <xf numFmtId="0" fontId="32" fillId="20" borderId="70" xfId="0" applyFont="1" applyFill="1" applyBorder="1" applyAlignment="1">
      <alignment horizontal="center" vertical="top"/>
    </xf>
    <xf numFmtId="0" fontId="32" fillId="20" borderId="16" xfId="0" applyFont="1" applyFill="1" applyBorder="1" applyAlignment="1">
      <alignment horizontal="center" vertical="top"/>
    </xf>
    <xf numFmtId="0" fontId="37" fillId="31" borderId="0" xfId="98" applyFont="1" applyFill="1" applyBorder="1" applyAlignment="1">
      <alignment horizontal="right" vertical="top" wrapText="1"/>
    </xf>
    <xf numFmtId="0" fontId="37" fillId="35" borderId="14" xfId="0" applyFont="1" applyFill="1" applyBorder="1" applyAlignment="1">
      <alignment horizontal="center" vertical="center"/>
    </xf>
    <xf numFmtId="0" fontId="37" fillId="35" borderId="70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34" fillId="20" borderId="23" xfId="0" applyFont="1" applyFill="1" applyBorder="1" applyAlignment="1">
      <alignment horizontal="center" vertical="center"/>
    </xf>
    <xf numFmtId="0" fontId="34" fillId="20" borderId="0" xfId="0" applyFont="1" applyFill="1" applyBorder="1" applyAlignment="1">
      <alignment horizontal="center" vertical="center"/>
    </xf>
    <xf numFmtId="0" fontId="34" fillId="20" borderId="24" xfId="0" applyFont="1" applyFill="1" applyBorder="1" applyAlignment="1">
      <alignment horizontal="center" vertical="center"/>
    </xf>
    <xf numFmtId="4" fontId="35" fillId="0" borderId="28" xfId="4" applyNumberFormat="1" applyFont="1" applyFill="1" applyBorder="1" applyAlignment="1">
      <alignment horizontal="center" vertical="center" wrapText="1"/>
    </xf>
    <xf numFmtId="4" fontId="35" fillId="0" borderId="11" xfId="4" applyNumberFormat="1" applyFont="1" applyFill="1" applyBorder="1" applyAlignment="1">
      <alignment horizontal="center" vertical="center" wrapText="1"/>
    </xf>
    <xf numFmtId="43" fontId="35" fillId="0" borderId="28" xfId="4" applyNumberFormat="1" applyFont="1" applyFill="1" applyBorder="1" applyAlignment="1">
      <alignment horizontal="right" vertical="center" wrapText="1"/>
    </xf>
    <xf numFmtId="43" fontId="35" fillId="0" borderId="11" xfId="4" applyNumberFormat="1" applyFont="1" applyFill="1" applyBorder="1" applyAlignment="1">
      <alignment horizontal="right" vertical="center" wrapText="1"/>
    </xf>
    <xf numFmtId="43" fontId="35" fillId="0" borderId="28" xfId="4" applyNumberFormat="1" applyFont="1" applyFill="1" applyBorder="1" applyAlignment="1">
      <alignment horizontal="center" vertical="center" wrapText="1"/>
    </xf>
    <xf numFmtId="43" fontId="35" fillId="0" borderId="11" xfId="4" applyNumberFormat="1" applyFont="1" applyFill="1" applyBorder="1" applyAlignment="1">
      <alignment horizontal="center" vertical="center" wrapText="1"/>
    </xf>
    <xf numFmtId="43" fontId="35" fillId="0" borderId="17" xfId="4" applyNumberFormat="1" applyFont="1" applyFill="1" applyBorder="1" applyAlignment="1">
      <alignment horizontal="center" vertical="center" wrapText="1"/>
    </xf>
    <xf numFmtId="43" fontId="35" fillId="0" borderId="12" xfId="4" applyNumberFormat="1" applyFont="1" applyFill="1" applyBorder="1" applyAlignment="1">
      <alignment horizontal="center" vertical="center" wrapText="1"/>
    </xf>
    <xf numFmtId="1" fontId="35" fillId="0" borderId="28" xfId="4" applyNumberFormat="1" applyFont="1" applyFill="1" applyBorder="1" applyAlignment="1">
      <alignment horizontal="center" vertical="center" wrapText="1"/>
    </xf>
    <xf numFmtId="1" fontId="35" fillId="0" borderId="11" xfId="4" applyNumberFormat="1" applyFont="1" applyFill="1" applyBorder="1" applyAlignment="1">
      <alignment horizontal="center" vertical="center" wrapText="1"/>
    </xf>
    <xf numFmtId="170" fontId="35" fillId="0" borderId="28" xfId="4" applyNumberFormat="1" applyFont="1" applyFill="1" applyBorder="1" applyAlignment="1">
      <alignment horizontal="center" vertical="center" wrapText="1"/>
    </xf>
    <xf numFmtId="170" fontId="35" fillId="0" borderId="11" xfId="4" applyNumberFormat="1" applyFont="1" applyFill="1" applyBorder="1" applyAlignment="1">
      <alignment horizontal="center" vertical="center" wrapText="1"/>
    </xf>
    <xf numFmtId="0" fontId="32" fillId="20" borderId="44" xfId="0" applyFont="1" applyFill="1" applyBorder="1" applyAlignment="1">
      <alignment horizontal="center"/>
    </xf>
    <xf numFmtId="0" fontId="32" fillId="20" borderId="45" xfId="0" applyFont="1" applyFill="1" applyBorder="1" applyAlignment="1">
      <alignment horizontal="center"/>
    </xf>
    <xf numFmtId="4" fontId="32" fillId="20" borderId="24" xfId="4" applyNumberFormat="1" applyFont="1" applyFill="1" applyBorder="1" applyAlignment="1">
      <alignment horizontal="left" vertical="center" wrapText="1"/>
    </xf>
    <xf numFmtId="164" fontId="36" fillId="18" borderId="28" xfId="6" quotePrefix="1" applyNumberFormat="1" applyFont="1" applyFill="1" applyBorder="1" applyAlignment="1">
      <alignment horizontal="left" wrapText="1"/>
    </xf>
    <xf numFmtId="164" fontId="36" fillId="18" borderId="0" xfId="6" quotePrefix="1" applyNumberFormat="1" applyFont="1" applyFill="1" applyBorder="1" applyAlignment="1">
      <alignment horizontal="left" wrapText="1"/>
    </xf>
    <xf numFmtId="164" fontId="36" fillId="18" borderId="29" xfId="6" quotePrefix="1" applyNumberFormat="1" applyFont="1" applyFill="1" applyBorder="1" applyAlignment="1">
      <alignment horizontal="left" wrapText="1"/>
    </xf>
    <xf numFmtId="0" fontId="34" fillId="18" borderId="23" xfId="0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center" vertical="center"/>
    </xf>
    <xf numFmtId="0" fontId="34" fillId="18" borderId="24" xfId="0" applyFont="1" applyFill="1" applyBorder="1" applyAlignment="1">
      <alignment horizontal="center" vertical="center"/>
    </xf>
    <xf numFmtId="4" fontId="35" fillId="0" borderId="25" xfId="6" applyNumberFormat="1" applyFont="1" applyBorder="1" applyAlignment="1">
      <alignment horizontal="center"/>
    </xf>
    <xf numFmtId="4" fontId="35" fillId="0" borderId="27" xfId="6" applyNumberFormat="1" applyFont="1" applyBorder="1" applyAlignment="1">
      <alignment horizontal="center"/>
    </xf>
    <xf numFmtId="4" fontId="35" fillId="0" borderId="49" xfId="6" applyNumberFormat="1" applyFont="1" applyBorder="1" applyAlignment="1">
      <alignment horizontal="center"/>
    </xf>
    <xf numFmtId="4" fontId="35" fillId="0" borderId="83" xfId="6" applyNumberFormat="1" applyFont="1" applyBorder="1" applyAlignment="1">
      <alignment horizontal="center"/>
    </xf>
    <xf numFmtId="4" fontId="35" fillId="0" borderId="26" xfId="6" applyNumberFormat="1" applyFont="1" applyBorder="1" applyAlignment="1">
      <alignment horizontal="center"/>
    </xf>
    <xf numFmtId="4" fontId="35" fillId="0" borderId="82" xfId="6" applyNumberFormat="1" applyFont="1" applyBorder="1" applyAlignment="1">
      <alignment horizontal="center"/>
    </xf>
    <xf numFmtId="0" fontId="35" fillId="0" borderId="81" xfId="0" applyFont="1" applyBorder="1" applyAlignment="1">
      <alignment horizontal="right"/>
    </xf>
    <xf numFmtId="0" fontId="35" fillId="0" borderId="26" xfId="0" applyFont="1" applyBorder="1" applyAlignment="1">
      <alignment horizontal="right"/>
    </xf>
    <xf numFmtId="164" fontId="36" fillId="18" borderId="28" xfId="6" quotePrefix="1" applyNumberFormat="1" applyFont="1" applyFill="1" applyBorder="1" applyAlignment="1">
      <alignment horizontal="center"/>
    </xf>
    <xf numFmtId="164" fontId="36" fillId="18" borderId="0" xfId="6" quotePrefix="1" applyNumberFormat="1" applyFont="1" applyFill="1" applyBorder="1" applyAlignment="1">
      <alignment horizontal="center"/>
    </xf>
    <xf numFmtId="164" fontId="36" fillId="18" borderId="29" xfId="6" quotePrefix="1" applyNumberFormat="1" applyFont="1" applyFill="1" applyBorder="1" applyAlignment="1">
      <alignment horizontal="center"/>
    </xf>
    <xf numFmtId="4" fontId="36" fillId="0" borderId="23" xfId="6" applyNumberFormat="1" applyFont="1" applyBorder="1" applyAlignment="1">
      <alignment horizontal="center"/>
    </xf>
    <xf numFmtId="4" fontId="36" fillId="0" borderId="24" xfId="6" applyNumberFormat="1" applyFont="1" applyBorder="1" applyAlignment="1">
      <alignment horizontal="center"/>
    </xf>
    <xf numFmtId="4" fontId="36" fillId="0" borderId="29" xfId="6" applyNumberFormat="1" applyFont="1" applyBorder="1" applyAlignment="1">
      <alignment horizontal="center"/>
    </xf>
    <xf numFmtId="4" fontId="35" fillId="0" borderId="43" xfId="6" applyNumberFormat="1" applyFont="1" applyFill="1" applyBorder="1" applyAlignment="1">
      <alignment horizontal="center"/>
    </xf>
    <xf numFmtId="4" fontId="35" fillId="0" borderId="45" xfId="6" applyNumberFormat="1" applyFont="1" applyFill="1" applyBorder="1" applyAlignment="1">
      <alignment horizontal="center"/>
    </xf>
    <xf numFmtId="4" fontId="35" fillId="0" borderId="80" xfId="6" applyNumberFormat="1" applyFont="1" applyFill="1" applyBorder="1" applyAlignment="1">
      <alignment horizontal="center"/>
    </xf>
    <xf numFmtId="0" fontId="35" fillId="18" borderId="43" xfId="0" applyFont="1" applyFill="1" applyBorder="1" applyAlignment="1">
      <alignment horizontal="center"/>
    </xf>
    <xf numFmtId="0" fontId="35" fillId="18" borderId="44" xfId="0" applyFont="1" applyFill="1" applyBorder="1" applyAlignment="1">
      <alignment horizontal="center"/>
    </xf>
    <xf numFmtId="0" fontId="35" fillId="18" borderId="45" xfId="0" applyFont="1" applyFill="1" applyBorder="1" applyAlignment="1">
      <alignment horizontal="center"/>
    </xf>
    <xf numFmtId="0" fontId="35" fillId="18" borderId="73" xfId="0" applyFont="1" applyFill="1" applyBorder="1" applyAlignment="1">
      <alignment horizontal="center" vertical="center" wrapText="1"/>
    </xf>
    <xf numFmtId="0" fontId="35" fillId="18" borderId="74" xfId="0" applyFont="1" applyFill="1" applyBorder="1" applyAlignment="1">
      <alignment horizontal="center" vertical="center" wrapText="1"/>
    </xf>
    <xf numFmtId="0" fontId="35" fillId="18" borderId="32" xfId="0" applyFont="1" applyFill="1" applyBorder="1" applyAlignment="1">
      <alignment horizontal="center" vertical="center" wrapText="1"/>
    </xf>
    <xf numFmtId="0" fontId="32" fillId="20" borderId="23" xfId="0" applyFont="1" applyFill="1" applyBorder="1" applyAlignment="1">
      <alignment horizontal="left" vertical="center" wrapText="1"/>
    </xf>
    <xf numFmtId="0" fontId="32" fillId="20" borderId="0" xfId="0" applyFont="1" applyFill="1" applyBorder="1" applyAlignment="1">
      <alignment horizontal="left" vertical="center" wrapText="1"/>
    </xf>
    <xf numFmtId="0" fontId="32" fillId="20" borderId="24" xfId="0" applyFont="1" applyFill="1" applyBorder="1" applyAlignment="1">
      <alignment horizontal="left" vertical="center" wrapText="1"/>
    </xf>
  </cellXfs>
  <cellStyles count="120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2 2" xfId="19"/>
    <cellStyle name="20% - Ênfase3 2" xfId="20"/>
    <cellStyle name="20% - Ênfase4 2" xfId="21"/>
    <cellStyle name="20% - Ênfase5 2" xfId="22"/>
    <cellStyle name="20% - Ênfase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2 2" xfId="31"/>
    <cellStyle name="40% - Ênfase3 2" xfId="32"/>
    <cellStyle name="40% - Ênfase4 2" xfId="33"/>
    <cellStyle name="40% - Ênfase5 2" xfId="34"/>
    <cellStyle name="40% - Ênfase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2 2" xfId="43"/>
    <cellStyle name="60% - Ênfase3 2" xfId="44"/>
    <cellStyle name="60% - Ênfase4 2" xfId="45"/>
    <cellStyle name="60% - Ênfase5 2" xfId="46"/>
    <cellStyle name="60% - Ênfase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om 2" xfId="55"/>
    <cellStyle name="Calculation" xfId="56"/>
    <cellStyle name="Calculation 2" xfId="108"/>
    <cellStyle name="Cálculo 2" xfId="57"/>
    <cellStyle name="Cálculo 2 2" xfId="109"/>
    <cellStyle name="Célula de Verificação 2" xfId="58"/>
    <cellStyle name="Célula Vinculada 2" xfId="59"/>
    <cellStyle name="Check Cell" xfId="60"/>
    <cellStyle name="Ênfase1 2" xfId="61"/>
    <cellStyle name="Ênfase2 2" xfId="62"/>
    <cellStyle name="Ênfase3 2" xfId="63"/>
    <cellStyle name="Ênfase4 2" xfId="64"/>
    <cellStyle name="Ênfase5 2" xfId="65"/>
    <cellStyle name="Ênfase6 2" xfId="66"/>
    <cellStyle name="Entrada 2" xfId="67"/>
    <cellStyle name="Entrada 2 2" xfId="110"/>
    <cellStyle name="Excel Built-in Comma" xfId="1"/>
    <cellStyle name="Excel Built-in Normal" xfId="2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put" xfId="75"/>
    <cellStyle name="Input 2" xfId="111"/>
    <cellStyle name="Linked Cell" xfId="76"/>
    <cellStyle name="Neutra 2" xfId="77"/>
    <cellStyle name="Neutral" xfId="78"/>
    <cellStyle name="Normal" xfId="0" builtinId="0"/>
    <cellStyle name="Normal 2" xfId="3"/>
    <cellStyle name="Normal 3" xfId="11"/>
    <cellStyle name="Normal 4" xfId="94"/>
    <cellStyle name="Normal 5" xfId="96"/>
    <cellStyle name="Normal 6" xfId="7"/>
    <cellStyle name="Normal 7" xfId="98"/>
    <cellStyle name="Normal 8" xfId="101"/>
    <cellStyle name="Normal 9" xfId="105"/>
    <cellStyle name="Normal_Pesquisa no referencial 10 de maio de 2013" xfId="4"/>
    <cellStyle name="Normal_Pesquisa no referencial 10 de maio de 2013 2" xfId="104"/>
    <cellStyle name="Nota 2" xfId="79"/>
    <cellStyle name="Nota 2 2" xfId="112"/>
    <cellStyle name="Nota 3" xfId="93"/>
    <cellStyle name="Nota 3 2" xfId="117"/>
    <cellStyle name="Nota 4" xfId="95"/>
    <cellStyle name="Nota 4 2" xfId="118"/>
    <cellStyle name="Nota 5" xfId="97"/>
    <cellStyle name="Nota 5 2" xfId="119"/>
    <cellStyle name="Note" xfId="80"/>
    <cellStyle name="Note 2" xfId="113"/>
    <cellStyle name="Output" xfId="81"/>
    <cellStyle name="Output 2" xfId="114"/>
    <cellStyle name="Porcentagem" xfId="5" builtinId="5"/>
    <cellStyle name="Porcentagem 2" xfId="9"/>
    <cellStyle name="Porcentagem 3" xfId="100"/>
    <cellStyle name="Porcentagem 4" xfId="103"/>
    <cellStyle name="Porcentagem 5" xfId="107"/>
    <cellStyle name="Saída 2" xfId="82"/>
    <cellStyle name="Saída 2 2" xfId="115"/>
    <cellStyle name="Separador de milhares" xfId="6" builtinId="3"/>
    <cellStyle name="Separador de milhares 5" xfId="10"/>
    <cellStyle name="Texto de Aviso 2" xfId="83"/>
    <cellStyle name="Texto Explicativo 2" xfId="84"/>
    <cellStyle name="Title" xfId="85"/>
    <cellStyle name="Título 1 2" xfId="87"/>
    <cellStyle name="Título 2 2" xfId="88"/>
    <cellStyle name="Título 3 2" xfId="89"/>
    <cellStyle name="Título 4 2" xfId="90"/>
    <cellStyle name="Título 5" xfId="86"/>
    <cellStyle name="Total 2" xfId="91"/>
    <cellStyle name="Total 2 2" xfId="116"/>
    <cellStyle name="Vírgula 2" xfId="8"/>
    <cellStyle name="Vírgula 3" xfId="99"/>
    <cellStyle name="Vírgula 4" xfId="102"/>
    <cellStyle name="Vírgula 5" xfId="106"/>
    <cellStyle name="Warning Text" xfId="92"/>
  </cellStyles>
  <dxfs count="56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22</xdr:row>
      <xdr:rowOff>133350</xdr:rowOff>
    </xdr:from>
    <xdr:to>
      <xdr:col>5</xdr:col>
      <xdr:colOff>161925</xdr:colOff>
      <xdr:row>24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775" y="4419600"/>
          <a:ext cx="4667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70" zoomScaleNormal="70" workbookViewId="0">
      <selection activeCell="H17" sqref="H17"/>
    </sheetView>
  </sheetViews>
  <sheetFormatPr defaultColWidth="9.140625" defaultRowHeight="15"/>
  <cols>
    <col min="1" max="1" width="7.42578125" style="234" customWidth="1"/>
    <col min="2" max="2" width="60.140625" style="234" customWidth="1"/>
    <col min="3" max="3" width="9" style="234" bestFit="1" customWidth="1"/>
    <col min="4" max="4" width="16.28515625" style="234" customWidth="1"/>
    <col min="5" max="5" width="15.5703125" style="234" customWidth="1"/>
    <col min="6" max="6" width="16.28515625" style="234" customWidth="1"/>
    <col min="7" max="7" width="14.140625" style="234" customWidth="1"/>
    <col min="8" max="8" width="13.85546875" style="234" customWidth="1"/>
    <col min="9" max="9" width="17.140625" style="234" customWidth="1"/>
    <col min="10" max="10" width="14.5703125" style="234" customWidth="1"/>
    <col min="11" max="12" width="15.140625" style="234" customWidth="1"/>
    <col min="13" max="13" width="14.85546875" style="234" customWidth="1"/>
    <col min="14" max="14" width="15.5703125" style="234" customWidth="1"/>
    <col min="15" max="15" width="17.5703125" style="234" customWidth="1"/>
    <col min="16" max="16" width="19" style="234" customWidth="1"/>
    <col min="17" max="17" width="13.140625" style="234" bestFit="1" customWidth="1"/>
    <col min="18" max="19" width="11.7109375" style="234" bestFit="1" customWidth="1"/>
    <col min="20" max="16384" width="9.140625" style="234"/>
  </cols>
  <sheetData>
    <row r="1" spans="1:17" ht="28.15" customHeight="1">
      <c r="A1" s="370" t="s">
        <v>319</v>
      </c>
      <c r="B1" s="371"/>
      <c r="C1" s="371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</row>
    <row r="2" spans="1:17" ht="15" customHeight="1">
      <c r="A2" s="62" t="s">
        <v>320</v>
      </c>
      <c r="B2" s="235"/>
      <c r="C2" s="235"/>
      <c r="D2" s="235"/>
      <c r="E2" s="235"/>
      <c r="F2" s="235"/>
      <c r="G2" s="235" t="s">
        <v>360</v>
      </c>
      <c r="H2" s="235"/>
      <c r="I2" s="235"/>
      <c r="J2" s="235"/>
      <c r="K2" s="235"/>
      <c r="L2" s="235"/>
      <c r="M2" s="235"/>
      <c r="N2" s="235"/>
      <c r="O2" s="235"/>
      <c r="P2" s="236"/>
    </row>
    <row r="3" spans="1:17" ht="15" customHeight="1">
      <c r="A3" s="73" t="s">
        <v>321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</row>
    <row r="4" spans="1:17" ht="8.1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</row>
    <row r="5" spans="1:17" ht="15" customHeight="1">
      <c r="A5" s="368" t="s">
        <v>359</v>
      </c>
      <c r="B5" s="369"/>
      <c r="C5" s="369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</row>
    <row r="6" spans="1:17" ht="13.5" customHeight="1" thickBot="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42"/>
    </row>
    <row r="7" spans="1:17">
      <c r="A7" s="243" t="s">
        <v>5</v>
      </c>
      <c r="B7" s="243" t="s">
        <v>85</v>
      </c>
      <c r="C7" s="244"/>
      <c r="D7" s="244" t="s">
        <v>12</v>
      </c>
      <c r="E7" s="244" t="s">
        <v>13</v>
      </c>
      <c r="F7" s="244" t="s">
        <v>71</v>
      </c>
      <c r="G7" s="244" t="s">
        <v>303</v>
      </c>
      <c r="H7" s="244" t="s">
        <v>304</v>
      </c>
      <c r="I7" s="244" t="s">
        <v>305</v>
      </c>
      <c r="J7" s="244" t="s">
        <v>350</v>
      </c>
      <c r="K7" s="244" t="s">
        <v>351</v>
      </c>
      <c r="L7" s="244" t="s">
        <v>352</v>
      </c>
      <c r="M7" s="244" t="s">
        <v>353</v>
      </c>
      <c r="N7" s="244" t="s">
        <v>354</v>
      </c>
      <c r="O7" s="244" t="s">
        <v>355</v>
      </c>
      <c r="P7" s="244" t="s">
        <v>4</v>
      </c>
    </row>
    <row r="8" spans="1:17" ht="8.1" customHeight="1">
      <c r="A8" s="245"/>
      <c r="B8" s="246"/>
      <c r="C8" s="247"/>
      <c r="D8" s="247"/>
      <c r="E8" s="247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9"/>
    </row>
    <row r="9" spans="1:17">
      <c r="A9" s="250">
        <v>1</v>
      </c>
      <c r="B9" s="251" t="str">
        <f>'PLANILHA ORÇAMENTÁRIA'!D10</f>
        <v>SERVIÇOS PRELIMINARES</v>
      </c>
      <c r="C9" s="252"/>
      <c r="D9" s="253">
        <f t="shared" ref="D9:I9" si="0">TRUNC(($P$9*D11),3)</f>
        <v>619.56799999999998</v>
      </c>
      <c r="E9" s="253">
        <f t="shared" si="0"/>
        <v>619.56799999999998</v>
      </c>
      <c r="F9" s="253">
        <f t="shared" si="0"/>
        <v>619.56799999999998</v>
      </c>
      <c r="G9" s="253">
        <f t="shared" si="0"/>
        <v>619.56799999999998</v>
      </c>
      <c r="H9" s="253">
        <f t="shared" si="0"/>
        <v>619.56799999999998</v>
      </c>
      <c r="I9" s="253">
        <f t="shared" si="0"/>
        <v>619.56799999999998</v>
      </c>
      <c r="J9" s="253">
        <f t="shared" ref="J9:O9" si="1">TRUNC(($P$9*J11),3)</f>
        <v>619.56799999999998</v>
      </c>
      <c r="K9" s="253">
        <f t="shared" si="1"/>
        <v>619.56799999999998</v>
      </c>
      <c r="L9" s="253">
        <f t="shared" si="1"/>
        <v>619.56799999999998</v>
      </c>
      <c r="M9" s="253">
        <f t="shared" si="1"/>
        <v>619.56799999999998</v>
      </c>
      <c r="N9" s="253">
        <f t="shared" si="1"/>
        <v>619.56799999999998</v>
      </c>
      <c r="O9" s="253">
        <f t="shared" si="1"/>
        <v>604.72799999999995</v>
      </c>
      <c r="P9" s="254">
        <f>'PLANILHA ORÇAMENTÁRIA'!J15</f>
        <v>7419.98</v>
      </c>
      <c r="Q9" s="255"/>
    </row>
    <row r="10" spans="1:17" ht="8.1" customHeight="1">
      <c r="A10" s="256"/>
      <c r="B10" s="257"/>
      <c r="C10" s="25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59"/>
    </row>
    <row r="11" spans="1:17">
      <c r="A11" s="260"/>
      <c r="B11" s="261" t="s">
        <v>3</v>
      </c>
      <c r="C11" s="262"/>
      <c r="D11" s="263">
        <v>8.3500000000000005E-2</v>
      </c>
      <c r="E11" s="263">
        <v>8.3500000000000005E-2</v>
      </c>
      <c r="F11" s="263">
        <v>8.3500000000000005E-2</v>
      </c>
      <c r="G11" s="263">
        <v>8.3500000000000005E-2</v>
      </c>
      <c r="H11" s="263">
        <v>8.3500000000000005E-2</v>
      </c>
      <c r="I11" s="263">
        <v>8.3500000000000005E-2</v>
      </c>
      <c r="J11" s="263">
        <v>8.3500000000000005E-2</v>
      </c>
      <c r="K11" s="263">
        <v>8.3500000000000005E-2</v>
      </c>
      <c r="L11" s="263">
        <v>8.3500000000000005E-2</v>
      </c>
      <c r="M11" s="263">
        <v>8.3500000000000005E-2</v>
      </c>
      <c r="N11" s="263">
        <v>8.3500000000000005E-2</v>
      </c>
      <c r="O11" s="263">
        <v>8.1500000000000003E-2</v>
      </c>
      <c r="P11" s="264"/>
      <c r="Q11" s="265"/>
    </row>
    <row r="12" spans="1:17">
      <c r="A12" s="270"/>
      <c r="B12" s="271"/>
      <c r="C12" s="272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273"/>
      <c r="Q12" s="265"/>
    </row>
    <row r="13" spans="1:17">
      <c r="A13" s="270"/>
      <c r="B13" s="271" t="str">
        <f>'PLANILHA ORÇAMENTÁRIA'!D17</f>
        <v xml:space="preserve">IMPLANTAÇÃO DO SISTEMA DE ILUMINAÇÃO ORNAMENTAL </v>
      </c>
      <c r="C13" s="272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273"/>
      <c r="Q13" s="265"/>
    </row>
    <row r="14" spans="1:17">
      <c r="A14" s="250">
        <v>2</v>
      </c>
      <c r="B14" s="251" t="str">
        <f>'PLANILHA ORÇAMENTÁRIA'!D19</f>
        <v>SERVIÇOS EM TERRA</v>
      </c>
      <c r="C14" s="252"/>
      <c r="D14" s="253">
        <f t="shared" ref="D14:I14" si="2">TRUNC(($P$14*D16),3)</f>
        <v>4967.7579999999998</v>
      </c>
      <c r="E14" s="253">
        <f t="shared" si="2"/>
        <v>3974.2060000000001</v>
      </c>
      <c r="F14" s="253">
        <f t="shared" si="2"/>
        <v>3974.2060000000001</v>
      </c>
      <c r="G14" s="253">
        <f t="shared" si="2"/>
        <v>3311.8389999999999</v>
      </c>
      <c r="H14" s="253">
        <f t="shared" si="2"/>
        <v>3311.8389999999999</v>
      </c>
      <c r="I14" s="253">
        <f t="shared" si="2"/>
        <v>2649.471</v>
      </c>
      <c r="J14" s="253">
        <f t="shared" ref="J14:O14" si="3">TRUNC(($P$14*J16),3)</f>
        <v>2649.471</v>
      </c>
      <c r="K14" s="253">
        <f t="shared" si="3"/>
        <v>1655.9190000000001</v>
      </c>
      <c r="L14" s="253">
        <f t="shared" si="3"/>
        <v>1655.9190000000001</v>
      </c>
      <c r="M14" s="253">
        <f t="shared" si="3"/>
        <v>1655.9190000000001</v>
      </c>
      <c r="N14" s="253">
        <f t="shared" si="3"/>
        <v>1655.9190000000001</v>
      </c>
      <c r="O14" s="253">
        <f t="shared" si="3"/>
        <v>1655.9190000000001</v>
      </c>
      <c r="P14" s="254">
        <f>'PLANILHA ORÇAMENTÁRIA'!J22</f>
        <v>33118.39</v>
      </c>
      <c r="Q14" s="255"/>
    </row>
    <row r="15" spans="1:17" ht="7.9" customHeight="1">
      <c r="A15" s="256"/>
      <c r="B15" s="257"/>
      <c r="C15" s="25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59"/>
    </row>
    <row r="16" spans="1:17">
      <c r="A16" s="266"/>
      <c r="B16" s="267" t="s">
        <v>3</v>
      </c>
      <c r="C16" s="268"/>
      <c r="D16" s="263">
        <v>0.15</v>
      </c>
      <c r="E16" s="263">
        <v>0.12</v>
      </c>
      <c r="F16" s="263">
        <v>0.12</v>
      </c>
      <c r="G16" s="263">
        <v>0.1</v>
      </c>
      <c r="H16" s="263">
        <v>0.1</v>
      </c>
      <c r="I16" s="263">
        <v>0.08</v>
      </c>
      <c r="J16" s="263">
        <v>0.08</v>
      </c>
      <c r="K16" s="263">
        <v>0.05</v>
      </c>
      <c r="L16" s="263">
        <v>0.05</v>
      </c>
      <c r="M16" s="263">
        <v>0.05</v>
      </c>
      <c r="N16" s="263">
        <v>0.05</v>
      </c>
      <c r="O16" s="263">
        <v>0.05</v>
      </c>
      <c r="P16" s="269"/>
      <c r="Q16" s="265"/>
    </row>
    <row r="17" spans="1:17">
      <c r="A17" s="250">
        <v>3</v>
      </c>
      <c r="B17" s="251" t="str">
        <f>'PLANILHA ORÇAMENTÁRIA'!D24</f>
        <v>CONCRETO/ALVENARIA</v>
      </c>
      <c r="C17" s="252"/>
      <c r="D17" s="253">
        <f t="shared" ref="D17:I17" si="4">TRUNC(($P$17*D19),3)</f>
        <v>44.551000000000002</v>
      </c>
      <c r="E17" s="253">
        <f t="shared" si="4"/>
        <v>74.251999999999995</v>
      </c>
      <c r="F17" s="253">
        <f t="shared" si="4"/>
        <v>74.251999999999995</v>
      </c>
      <c r="G17" s="253">
        <f t="shared" si="4"/>
        <v>74.251999999999995</v>
      </c>
      <c r="H17" s="253">
        <f t="shared" si="4"/>
        <v>59.401000000000003</v>
      </c>
      <c r="I17" s="253">
        <f t="shared" si="4"/>
        <v>59.401000000000003</v>
      </c>
      <c r="J17" s="253">
        <f t="shared" ref="J17:O17" si="5">TRUNC(($P$17*J19),3)</f>
        <v>59.401000000000003</v>
      </c>
      <c r="K17" s="253">
        <f t="shared" si="5"/>
        <v>59.401000000000003</v>
      </c>
      <c r="L17" s="253">
        <f t="shared" si="5"/>
        <v>59.401000000000003</v>
      </c>
      <c r="M17" s="253">
        <f t="shared" si="5"/>
        <v>59.401000000000003</v>
      </c>
      <c r="N17" s="253">
        <f t="shared" si="5"/>
        <v>59.401000000000003</v>
      </c>
      <c r="O17" s="253">
        <f t="shared" si="5"/>
        <v>59.401000000000003</v>
      </c>
      <c r="P17" s="254">
        <f>'PLANILHA ORÇAMENTÁRIA'!J27</f>
        <v>742.52</v>
      </c>
      <c r="Q17" s="255"/>
    </row>
    <row r="18" spans="1:17" ht="7.9" customHeight="1">
      <c r="A18" s="256"/>
      <c r="B18" s="257"/>
      <c r="C18" s="25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59"/>
    </row>
    <row r="19" spans="1:17">
      <c r="A19" s="266"/>
      <c r="B19" s="267" t="s">
        <v>3</v>
      </c>
      <c r="C19" s="268"/>
      <c r="D19" s="263">
        <v>0.06</v>
      </c>
      <c r="E19" s="263">
        <v>0.1</v>
      </c>
      <c r="F19" s="263">
        <v>0.1</v>
      </c>
      <c r="G19" s="263">
        <v>0.1</v>
      </c>
      <c r="H19" s="263">
        <v>0.08</v>
      </c>
      <c r="I19" s="263">
        <v>0.08</v>
      </c>
      <c r="J19" s="263">
        <v>0.08</v>
      </c>
      <c r="K19" s="263">
        <v>0.08</v>
      </c>
      <c r="L19" s="263">
        <v>0.08</v>
      </c>
      <c r="M19" s="263">
        <v>0.08</v>
      </c>
      <c r="N19" s="263">
        <v>0.08</v>
      </c>
      <c r="O19" s="263">
        <v>0.08</v>
      </c>
      <c r="P19" s="269"/>
      <c r="Q19" s="265"/>
    </row>
    <row r="20" spans="1:17">
      <c r="A20" s="250">
        <v>4</v>
      </c>
      <c r="B20" s="251" t="str">
        <f>'PLANILHA ORÇAMENTÁRIA'!D29</f>
        <v>ESTRUTURAS E DUTOS</v>
      </c>
      <c r="C20" s="252"/>
      <c r="D20" s="253">
        <f t="shared" ref="D20:I20" si="6">TRUNC(($P$20*D22),3)</f>
        <v>3785.2559999999999</v>
      </c>
      <c r="E20" s="253">
        <f t="shared" si="6"/>
        <v>2838.942</v>
      </c>
      <c r="F20" s="253">
        <f t="shared" si="6"/>
        <v>2523.5039999999999</v>
      </c>
      <c r="G20" s="253">
        <f t="shared" si="6"/>
        <v>2523.5039999999999</v>
      </c>
      <c r="H20" s="253">
        <f t="shared" si="6"/>
        <v>2523.5039999999999</v>
      </c>
      <c r="I20" s="253">
        <f t="shared" si="6"/>
        <v>2523.5039999999999</v>
      </c>
      <c r="J20" s="253">
        <f t="shared" ref="J20:O20" si="7">TRUNC(($P$20*J22),3)</f>
        <v>2523.5039999999999</v>
      </c>
      <c r="K20" s="253">
        <f t="shared" si="7"/>
        <v>2523.5039999999999</v>
      </c>
      <c r="L20" s="253">
        <f t="shared" si="7"/>
        <v>2523.5039999999999</v>
      </c>
      <c r="M20" s="253">
        <f t="shared" si="7"/>
        <v>2523.5039999999999</v>
      </c>
      <c r="N20" s="253">
        <f t="shared" si="7"/>
        <v>2523.5039999999999</v>
      </c>
      <c r="O20" s="253">
        <f t="shared" si="7"/>
        <v>2208.0659999999998</v>
      </c>
      <c r="P20" s="254">
        <f>'PLANILHA ORÇAMENTÁRIA'!J36</f>
        <v>31543.799999999996</v>
      </c>
      <c r="Q20" s="255"/>
    </row>
    <row r="21" spans="1:17" ht="7.9" customHeight="1">
      <c r="A21" s="256"/>
      <c r="B21" s="257"/>
      <c r="C21" s="25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59"/>
    </row>
    <row r="22" spans="1:17">
      <c r="A22" s="266"/>
      <c r="B22" s="267" t="s">
        <v>3</v>
      </c>
      <c r="C22" s="268"/>
      <c r="D22" s="263">
        <v>0.12</v>
      </c>
      <c r="E22" s="263">
        <v>0.09</v>
      </c>
      <c r="F22" s="263">
        <v>0.08</v>
      </c>
      <c r="G22" s="263">
        <v>0.08</v>
      </c>
      <c r="H22" s="263">
        <v>0.08</v>
      </c>
      <c r="I22" s="263">
        <v>0.08</v>
      </c>
      <c r="J22" s="263">
        <v>0.08</v>
      </c>
      <c r="K22" s="263">
        <v>0.08</v>
      </c>
      <c r="L22" s="263">
        <v>0.08</v>
      </c>
      <c r="M22" s="263">
        <v>0.08</v>
      </c>
      <c r="N22" s="263">
        <v>0.08</v>
      </c>
      <c r="O22" s="263">
        <v>7.0000000000000007E-2</v>
      </c>
      <c r="P22" s="269"/>
      <c r="Q22" s="265"/>
    </row>
    <row r="23" spans="1:17">
      <c r="A23" s="250">
        <v>5</v>
      </c>
      <c r="B23" s="251" t="str">
        <f>'PLANILHA ORÇAMENTÁRIA'!D38</f>
        <v>ELÉTRICA - DISJUNTORES, QUADROS E CONTATORES</v>
      </c>
      <c r="C23" s="252"/>
      <c r="D23" s="253">
        <f t="shared" ref="D23:I23" si="8">TRUNC(($P$23*D25),3)</f>
        <v>707.41300000000001</v>
      </c>
      <c r="E23" s="253">
        <f t="shared" si="8"/>
        <v>707.41300000000001</v>
      </c>
      <c r="F23" s="253">
        <f t="shared" si="8"/>
        <v>707.41300000000001</v>
      </c>
      <c r="G23" s="253">
        <f t="shared" si="8"/>
        <v>707.41300000000001</v>
      </c>
      <c r="H23" s="253">
        <f t="shared" si="8"/>
        <v>707.41300000000001</v>
      </c>
      <c r="I23" s="253">
        <f t="shared" si="8"/>
        <v>707.41300000000001</v>
      </c>
      <c r="J23" s="253">
        <f t="shared" ref="J23:O23" si="9">TRUNC(($P$23*J25),3)</f>
        <v>707.41300000000001</v>
      </c>
      <c r="K23" s="253">
        <f t="shared" si="9"/>
        <v>707.41300000000001</v>
      </c>
      <c r="L23" s="253">
        <f t="shared" si="9"/>
        <v>707.41300000000001</v>
      </c>
      <c r="M23" s="253">
        <f t="shared" si="9"/>
        <v>707.41300000000001</v>
      </c>
      <c r="N23" s="253">
        <f t="shared" si="9"/>
        <v>707.41300000000001</v>
      </c>
      <c r="O23" s="253">
        <f t="shared" si="9"/>
        <v>690.46900000000005</v>
      </c>
      <c r="P23" s="254">
        <f>'PLANILHA ORÇAMENTÁRIA'!J48</f>
        <v>8472.02</v>
      </c>
      <c r="Q23" s="255"/>
    </row>
    <row r="24" spans="1:17" ht="7.9" customHeight="1">
      <c r="A24" s="256"/>
      <c r="B24" s="257"/>
      <c r="C24" s="25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59"/>
    </row>
    <row r="25" spans="1:17">
      <c r="A25" s="266"/>
      <c r="B25" s="267" t="s">
        <v>3</v>
      </c>
      <c r="C25" s="268"/>
      <c r="D25" s="263">
        <v>8.3500000000000005E-2</v>
      </c>
      <c r="E25" s="263">
        <v>8.3500000000000005E-2</v>
      </c>
      <c r="F25" s="263">
        <v>8.3500000000000005E-2</v>
      </c>
      <c r="G25" s="263">
        <v>8.3500000000000005E-2</v>
      </c>
      <c r="H25" s="263">
        <v>8.3500000000000005E-2</v>
      </c>
      <c r="I25" s="263">
        <v>8.3500000000000005E-2</v>
      </c>
      <c r="J25" s="263">
        <v>8.3500000000000005E-2</v>
      </c>
      <c r="K25" s="263">
        <v>8.3500000000000005E-2</v>
      </c>
      <c r="L25" s="263">
        <v>8.3500000000000005E-2</v>
      </c>
      <c r="M25" s="263">
        <v>8.3500000000000005E-2</v>
      </c>
      <c r="N25" s="263">
        <v>8.3500000000000005E-2</v>
      </c>
      <c r="O25" s="263">
        <v>8.1500000000000003E-2</v>
      </c>
      <c r="P25" s="269"/>
      <c r="Q25" s="265"/>
    </row>
    <row r="26" spans="1:17">
      <c r="A26" s="250">
        <v>6</v>
      </c>
      <c r="B26" s="251" t="str">
        <f>'PLANILHA ORÇAMENTÁRIA'!D50</f>
        <v xml:space="preserve">ELÉTRICA - FIOS E CABOS </v>
      </c>
      <c r="C26" s="252"/>
      <c r="D26" s="253">
        <f t="shared" ref="D26:I26" si="10">TRUNC(($P$26*D28),3)</f>
        <v>4586.366</v>
      </c>
      <c r="E26" s="253">
        <f t="shared" si="10"/>
        <v>4586.366</v>
      </c>
      <c r="F26" s="253">
        <f t="shared" si="10"/>
        <v>4586.366</v>
      </c>
      <c r="G26" s="253">
        <f t="shared" si="10"/>
        <v>4586.366</v>
      </c>
      <c r="H26" s="253">
        <f t="shared" si="10"/>
        <v>4586.366</v>
      </c>
      <c r="I26" s="253">
        <f t="shared" si="10"/>
        <v>4586.366</v>
      </c>
      <c r="J26" s="253">
        <f t="shared" ref="J26:O26" si="11">TRUNC(($P$26*J28),3)</f>
        <v>4586.366</v>
      </c>
      <c r="K26" s="253">
        <f t="shared" si="11"/>
        <v>4586.366</v>
      </c>
      <c r="L26" s="253">
        <f t="shared" si="11"/>
        <v>4586.366</v>
      </c>
      <c r="M26" s="253">
        <f t="shared" si="11"/>
        <v>4586.366</v>
      </c>
      <c r="N26" s="253">
        <f t="shared" si="11"/>
        <v>4586.366</v>
      </c>
      <c r="O26" s="253">
        <f t="shared" si="11"/>
        <v>4476.5129999999999</v>
      </c>
      <c r="P26" s="254">
        <f>'PLANILHA ORÇAMENTÁRIA'!J57</f>
        <v>54926.54</v>
      </c>
      <c r="Q26" s="255"/>
    </row>
    <row r="27" spans="1:17" ht="7.9" customHeight="1">
      <c r="A27" s="256"/>
      <c r="B27" s="257"/>
      <c r="C27" s="25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59"/>
    </row>
    <row r="28" spans="1:17">
      <c r="A28" s="266"/>
      <c r="B28" s="267" t="s">
        <v>3</v>
      </c>
      <c r="C28" s="268"/>
      <c r="D28" s="263">
        <v>8.3500000000000005E-2</v>
      </c>
      <c r="E28" s="263">
        <v>8.3500000000000005E-2</v>
      </c>
      <c r="F28" s="263">
        <v>8.3500000000000005E-2</v>
      </c>
      <c r="G28" s="263">
        <v>8.3500000000000005E-2</v>
      </c>
      <c r="H28" s="263">
        <v>8.3500000000000005E-2</v>
      </c>
      <c r="I28" s="263">
        <v>8.3500000000000005E-2</v>
      </c>
      <c r="J28" s="263">
        <v>8.3500000000000005E-2</v>
      </c>
      <c r="K28" s="263">
        <v>8.3500000000000005E-2</v>
      </c>
      <c r="L28" s="263">
        <v>8.3500000000000005E-2</v>
      </c>
      <c r="M28" s="263">
        <v>8.3500000000000005E-2</v>
      </c>
      <c r="N28" s="263">
        <v>8.3500000000000005E-2</v>
      </c>
      <c r="O28" s="263">
        <v>8.1500000000000003E-2</v>
      </c>
      <c r="P28" s="269"/>
      <c r="Q28" s="265"/>
    </row>
    <row r="29" spans="1:17">
      <c r="A29" s="250">
        <v>7</v>
      </c>
      <c r="B29" s="251" t="str">
        <f>'PLANILHA ORÇAMENTÁRIA'!D59</f>
        <v>ELÉTRICA - POSTES DE ILUMINAÇÃO E LUMINÁRIAS</v>
      </c>
      <c r="C29" s="252"/>
      <c r="D29" s="253">
        <f t="shared" ref="D29:I29" si="12">TRUNC(($P$29*D31),3)</f>
        <v>20221.346000000001</v>
      </c>
      <c r="E29" s="253">
        <f t="shared" si="12"/>
        <v>20221.346000000001</v>
      </c>
      <c r="F29" s="253">
        <f t="shared" si="12"/>
        <v>18383.042000000001</v>
      </c>
      <c r="G29" s="253">
        <f t="shared" si="12"/>
        <v>18383.042000000001</v>
      </c>
      <c r="H29" s="253">
        <f t="shared" si="12"/>
        <v>16544.737000000001</v>
      </c>
      <c r="I29" s="253">
        <f t="shared" si="12"/>
        <v>16544.737000000001</v>
      </c>
      <c r="J29" s="253">
        <f t="shared" ref="J29:O29" si="13">TRUNC(($P$29*J31),3)</f>
        <v>12868.129000000001</v>
      </c>
      <c r="K29" s="253">
        <f t="shared" si="13"/>
        <v>12868.129000000001</v>
      </c>
      <c r="L29" s="253">
        <f t="shared" si="13"/>
        <v>12868.129000000001</v>
      </c>
      <c r="M29" s="253">
        <f t="shared" si="13"/>
        <v>12868.129000000001</v>
      </c>
      <c r="N29" s="253">
        <f t="shared" si="13"/>
        <v>11029.825000000001</v>
      </c>
      <c r="O29" s="253">
        <f t="shared" si="13"/>
        <v>11029.825000000001</v>
      </c>
      <c r="P29" s="254">
        <f>'PLANILHA ORÇAMENTÁRIA'!J63</f>
        <v>183830.42</v>
      </c>
      <c r="Q29" s="255"/>
    </row>
    <row r="30" spans="1:17" ht="7.9" customHeight="1">
      <c r="A30" s="256"/>
      <c r="B30" s="257"/>
      <c r="C30" s="25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59"/>
    </row>
    <row r="31" spans="1:17">
      <c r="A31" s="266"/>
      <c r="B31" s="267" t="s">
        <v>3</v>
      </c>
      <c r="C31" s="268"/>
      <c r="D31" s="263">
        <v>0.11</v>
      </c>
      <c r="E31" s="263">
        <v>0.11</v>
      </c>
      <c r="F31" s="263">
        <v>0.1</v>
      </c>
      <c r="G31" s="263">
        <v>0.1</v>
      </c>
      <c r="H31" s="263">
        <v>0.09</v>
      </c>
      <c r="I31" s="263">
        <v>0.09</v>
      </c>
      <c r="J31" s="263">
        <v>7.0000000000000007E-2</v>
      </c>
      <c r="K31" s="263">
        <v>7.0000000000000007E-2</v>
      </c>
      <c r="L31" s="263">
        <v>7.0000000000000007E-2</v>
      </c>
      <c r="M31" s="263">
        <v>7.0000000000000007E-2</v>
      </c>
      <c r="N31" s="263">
        <v>0.06</v>
      </c>
      <c r="O31" s="263">
        <v>0.06</v>
      </c>
      <c r="P31" s="269"/>
      <c r="Q31" s="265"/>
    </row>
    <row r="32" spans="1:17">
      <c r="A32" s="250">
        <v>8</v>
      </c>
      <c r="B32" s="251" t="str">
        <f>'PLANILHA ORÇAMENTÁRIA'!D65</f>
        <v>ELÉTRICA - DIVERSOS</v>
      </c>
      <c r="C32" s="252"/>
      <c r="D32" s="253">
        <f t="shared" ref="D32:I32" si="14">TRUNC(($P$32*D34),3)</f>
        <v>124.651</v>
      </c>
      <c r="E32" s="253">
        <f t="shared" si="14"/>
        <v>124.651</v>
      </c>
      <c r="F32" s="253">
        <f t="shared" si="14"/>
        <v>124.651</v>
      </c>
      <c r="G32" s="253">
        <f t="shared" si="14"/>
        <v>124.651</v>
      </c>
      <c r="H32" s="253">
        <f t="shared" si="14"/>
        <v>124.651</v>
      </c>
      <c r="I32" s="253">
        <f t="shared" si="14"/>
        <v>124.651</v>
      </c>
      <c r="J32" s="253">
        <f t="shared" ref="J32:O32" si="15">TRUNC(($P$32*J34),3)</f>
        <v>124.651</v>
      </c>
      <c r="K32" s="253">
        <f t="shared" si="15"/>
        <v>124.651</v>
      </c>
      <c r="L32" s="253">
        <f t="shared" si="15"/>
        <v>124.651</v>
      </c>
      <c r="M32" s="253">
        <f t="shared" si="15"/>
        <v>124.651</v>
      </c>
      <c r="N32" s="253">
        <f t="shared" si="15"/>
        <v>124.651</v>
      </c>
      <c r="O32" s="253">
        <f t="shared" si="15"/>
        <v>121.66500000000001</v>
      </c>
      <c r="P32" s="254">
        <f>'PLANILHA ORÇAMENTÁRIA'!J71</f>
        <v>1492.83</v>
      </c>
      <c r="Q32" s="255"/>
    </row>
    <row r="33" spans="1:18" ht="7.9" customHeight="1">
      <c r="A33" s="256"/>
      <c r="B33" s="257"/>
      <c r="C33" s="25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59"/>
    </row>
    <row r="34" spans="1:18">
      <c r="A34" s="266"/>
      <c r="B34" s="267" t="s">
        <v>3</v>
      </c>
      <c r="C34" s="268"/>
      <c r="D34" s="263">
        <v>8.3500000000000005E-2</v>
      </c>
      <c r="E34" s="263">
        <v>8.3500000000000005E-2</v>
      </c>
      <c r="F34" s="263">
        <v>8.3500000000000005E-2</v>
      </c>
      <c r="G34" s="263">
        <v>8.3500000000000005E-2</v>
      </c>
      <c r="H34" s="263">
        <v>8.3500000000000005E-2</v>
      </c>
      <c r="I34" s="263">
        <v>8.3500000000000005E-2</v>
      </c>
      <c r="J34" s="263">
        <v>8.3500000000000005E-2</v>
      </c>
      <c r="K34" s="263">
        <v>8.3500000000000005E-2</v>
      </c>
      <c r="L34" s="263">
        <v>8.3500000000000005E-2</v>
      </c>
      <c r="M34" s="263">
        <v>8.3500000000000005E-2</v>
      </c>
      <c r="N34" s="263">
        <v>8.3500000000000005E-2</v>
      </c>
      <c r="O34" s="263">
        <v>8.1500000000000003E-2</v>
      </c>
      <c r="P34" s="269"/>
      <c r="Q34" s="265"/>
    </row>
    <row r="35" spans="1:18">
      <c r="A35" s="270"/>
      <c r="B35" s="271"/>
      <c r="C35" s="272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273"/>
      <c r="Q35" s="265"/>
    </row>
    <row r="36" spans="1:18">
      <c r="A36" s="270"/>
      <c r="B36" s="271" t="str">
        <f>'PLANILHA ORÇAMENTÁRIA'!D73</f>
        <v xml:space="preserve">MELHORIA E MODERNIZAÇÃO DO SISTEMA DE ILUMINAÇÃO ORNAMENTAL </v>
      </c>
      <c r="C36" s="272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273"/>
      <c r="Q36" s="265"/>
    </row>
    <row r="37" spans="1:18">
      <c r="A37" s="250">
        <v>9</v>
      </c>
      <c r="B37" s="251" t="str">
        <f>'PLANILHA ORÇAMENTÁRIA'!D75</f>
        <v>ELÉTRICA - LUMINÁRIAS E ACESSÓRIOS</v>
      </c>
      <c r="C37" s="252"/>
      <c r="D37" s="253">
        <f t="shared" ref="D37:I37" si="16">TRUNC(($P$37*D39),3)</f>
        <v>79743.467999999993</v>
      </c>
      <c r="E37" s="253">
        <f t="shared" si="16"/>
        <v>79743.467999999993</v>
      </c>
      <c r="F37" s="253">
        <f t="shared" si="16"/>
        <v>79743.467999999993</v>
      </c>
      <c r="G37" s="253">
        <f t="shared" si="16"/>
        <v>79743.467999999993</v>
      </c>
      <c r="H37" s="253">
        <f t="shared" si="16"/>
        <v>79743.467999999993</v>
      </c>
      <c r="I37" s="253">
        <f t="shared" si="16"/>
        <v>79743.467999999993</v>
      </c>
      <c r="J37" s="253">
        <f t="shared" ref="J37:O37" si="17">TRUNC(($P$37*J39),3)</f>
        <v>79743.467999999993</v>
      </c>
      <c r="K37" s="253">
        <f t="shared" si="17"/>
        <v>79743.467999999993</v>
      </c>
      <c r="L37" s="253">
        <f t="shared" si="17"/>
        <v>79743.467999999993</v>
      </c>
      <c r="M37" s="253">
        <f t="shared" si="17"/>
        <v>79743.467999999993</v>
      </c>
      <c r="N37" s="253">
        <f t="shared" si="17"/>
        <v>79743.467999999993</v>
      </c>
      <c r="O37" s="253">
        <f t="shared" si="17"/>
        <v>77833.445000000007</v>
      </c>
      <c r="P37" s="254">
        <f>'PLANILHA ORÇAMENTÁRIA'!J80</f>
        <v>955011.6</v>
      </c>
      <c r="Q37" s="255"/>
    </row>
    <row r="38" spans="1:18" ht="7.9" customHeight="1">
      <c r="A38" s="256"/>
      <c r="B38" s="257"/>
      <c r="C38" s="25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59"/>
    </row>
    <row r="39" spans="1:18">
      <c r="A39" s="266"/>
      <c r="B39" s="267" t="s">
        <v>3</v>
      </c>
      <c r="C39" s="268"/>
      <c r="D39" s="263">
        <v>8.3500000000000005E-2</v>
      </c>
      <c r="E39" s="263">
        <v>8.3500000000000005E-2</v>
      </c>
      <c r="F39" s="263">
        <v>8.3500000000000005E-2</v>
      </c>
      <c r="G39" s="263">
        <v>8.3500000000000005E-2</v>
      </c>
      <c r="H39" s="263">
        <v>8.3500000000000005E-2</v>
      </c>
      <c r="I39" s="263">
        <v>8.3500000000000005E-2</v>
      </c>
      <c r="J39" s="263">
        <v>8.3500000000000005E-2</v>
      </c>
      <c r="K39" s="263">
        <v>8.3500000000000005E-2</v>
      </c>
      <c r="L39" s="263">
        <v>8.3500000000000005E-2</v>
      </c>
      <c r="M39" s="263">
        <v>8.3500000000000005E-2</v>
      </c>
      <c r="N39" s="263">
        <v>8.3500000000000005E-2</v>
      </c>
      <c r="O39" s="263">
        <v>8.1500000000000003E-2</v>
      </c>
      <c r="P39" s="269"/>
      <c r="Q39" s="265"/>
    </row>
    <row r="40" spans="1:18">
      <c r="A40" s="250">
        <v>10</v>
      </c>
      <c r="B40" s="251" t="str">
        <f>'PLANILHA ORÇAMENTÁRIA'!D83</f>
        <v>ELÉTRICA - LUMINÁRIAS E ACESSÓRIOS</v>
      </c>
      <c r="C40" s="252"/>
      <c r="D40" s="253">
        <f t="shared" ref="D40:I40" si="18">TRUNC(($P$40*D42),3)</f>
        <v>57149.485000000001</v>
      </c>
      <c r="E40" s="253">
        <f t="shared" si="18"/>
        <v>57149.485000000001</v>
      </c>
      <c r="F40" s="253">
        <f t="shared" si="18"/>
        <v>57149.485000000001</v>
      </c>
      <c r="G40" s="253">
        <f t="shared" si="18"/>
        <v>57149.485000000001</v>
      </c>
      <c r="H40" s="253">
        <f t="shared" si="18"/>
        <v>57149.485000000001</v>
      </c>
      <c r="I40" s="253">
        <f t="shared" si="18"/>
        <v>57149.485000000001</v>
      </c>
      <c r="J40" s="253">
        <f t="shared" ref="J40:O40" si="19">TRUNC(($P$40*J42),3)</f>
        <v>57149.485000000001</v>
      </c>
      <c r="K40" s="253">
        <f t="shared" si="19"/>
        <v>57149.485000000001</v>
      </c>
      <c r="L40" s="253">
        <f t="shared" si="19"/>
        <v>57149.485000000001</v>
      </c>
      <c r="M40" s="253">
        <f t="shared" si="19"/>
        <v>57149.485000000001</v>
      </c>
      <c r="N40" s="253">
        <f t="shared" si="19"/>
        <v>57149.485000000001</v>
      </c>
      <c r="O40" s="253">
        <f t="shared" si="19"/>
        <v>55780.635000000002</v>
      </c>
      <c r="P40" s="254">
        <f>'PLANILHA ORÇAMENTÁRIA'!J88</f>
        <v>684424.98</v>
      </c>
      <c r="Q40" s="255"/>
    </row>
    <row r="41" spans="1:18" ht="7.9" customHeight="1">
      <c r="A41" s="256"/>
      <c r="B41" s="257"/>
      <c r="C41" s="25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59"/>
    </row>
    <row r="42" spans="1:18">
      <c r="A42" s="266"/>
      <c r="B42" s="267" t="s">
        <v>3</v>
      </c>
      <c r="C42" s="268"/>
      <c r="D42" s="263">
        <v>8.3500000000000005E-2</v>
      </c>
      <c r="E42" s="263">
        <v>8.3500000000000005E-2</v>
      </c>
      <c r="F42" s="263">
        <v>8.3500000000000005E-2</v>
      </c>
      <c r="G42" s="263">
        <v>8.3500000000000005E-2</v>
      </c>
      <c r="H42" s="263">
        <v>8.3500000000000005E-2</v>
      </c>
      <c r="I42" s="263">
        <v>8.3500000000000005E-2</v>
      </c>
      <c r="J42" s="263">
        <v>8.3500000000000005E-2</v>
      </c>
      <c r="K42" s="263">
        <v>8.3500000000000005E-2</v>
      </c>
      <c r="L42" s="263">
        <v>8.3500000000000005E-2</v>
      </c>
      <c r="M42" s="263">
        <v>8.3500000000000005E-2</v>
      </c>
      <c r="N42" s="263">
        <v>8.3500000000000005E-2</v>
      </c>
      <c r="O42" s="263">
        <v>8.1500000000000003E-2</v>
      </c>
      <c r="P42" s="269"/>
      <c r="Q42" s="265"/>
    </row>
    <row r="43" spans="1:18" ht="8.1" customHeight="1">
      <c r="A43" s="274"/>
      <c r="B43" s="275"/>
      <c r="C43" s="276"/>
      <c r="D43" s="277"/>
      <c r="E43" s="277"/>
      <c r="F43" s="278"/>
      <c r="G43" s="277"/>
      <c r="H43" s="277"/>
      <c r="I43" s="278"/>
      <c r="J43" s="277"/>
      <c r="K43" s="277"/>
      <c r="L43" s="278"/>
      <c r="M43" s="277"/>
      <c r="N43" s="277"/>
      <c r="O43" s="278"/>
      <c r="P43" s="279"/>
    </row>
    <row r="44" spans="1:18">
      <c r="A44" s="280"/>
      <c r="B44" s="281" t="s">
        <v>176</v>
      </c>
      <c r="C44" s="282"/>
      <c r="D44" s="283">
        <f t="shared" ref="D44:O44" si="20">TRUNC((D9+D14+D17+D20+D23+D26+D29+D32+D37+D40),4)</f>
        <v>171949.86199999999</v>
      </c>
      <c r="E44" s="283">
        <f t="shared" si="20"/>
        <v>170039.69699999999</v>
      </c>
      <c r="F44" s="283">
        <f t="shared" si="20"/>
        <v>167885.95499999999</v>
      </c>
      <c r="G44" s="283">
        <f t="shared" si="20"/>
        <v>167223.58799999999</v>
      </c>
      <c r="H44" s="283">
        <f t="shared" si="20"/>
        <v>165370.432</v>
      </c>
      <c r="I44" s="283">
        <f t="shared" si="20"/>
        <v>164708.06400000001</v>
      </c>
      <c r="J44" s="283">
        <f t="shared" si="20"/>
        <v>161031.45600000001</v>
      </c>
      <c r="K44" s="283">
        <f t="shared" si="20"/>
        <v>160037.90400000001</v>
      </c>
      <c r="L44" s="283">
        <f t="shared" si="20"/>
        <v>160037.90400000001</v>
      </c>
      <c r="M44" s="283">
        <f t="shared" si="20"/>
        <v>160037.90400000001</v>
      </c>
      <c r="N44" s="283">
        <f t="shared" si="20"/>
        <v>158199.6</v>
      </c>
      <c r="O44" s="283">
        <f t="shared" si="20"/>
        <v>154460.666</v>
      </c>
      <c r="P44" s="284">
        <f>SUM(P9:P42)</f>
        <v>1960983.08</v>
      </c>
    </row>
    <row r="45" spans="1:18">
      <c r="A45" s="285"/>
      <c r="B45" s="286"/>
      <c r="C45" s="286"/>
      <c r="D45" s="286"/>
      <c r="E45" s="287"/>
      <c r="F45" s="287"/>
      <c r="G45" s="286"/>
      <c r="H45" s="287"/>
      <c r="I45" s="287"/>
      <c r="J45" s="286"/>
      <c r="K45" s="287"/>
      <c r="L45" s="287"/>
      <c r="M45" s="286"/>
      <c r="N45" s="287"/>
      <c r="O45" s="287"/>
      <c r="P45" s="284">
        <f>'PLANILHA ORÇAMENTÁRIA'!J90</f>
        <v>490245.77</v>
      </c>
    </row>
    <row r="46" spans="1:18" ht="18.75" customHeight="1">
      <c r="A46" s="288" t="s">
        <v>177</v>
      </c>
      <c r="B46" s="289"/>
      <c r="C46" s="290"/>
      <c r="D46" s="253">
        <f>TRUNC((D44*'PLANILHA ORÇAMENTÁRIA'!$H$90+D44),4)</f>
        <v>214937.32750000001</v>
      </c>
      <c r="E46" s="253">
        <f>TRUNC((E44*'PLANILHA ORÇAMENTÁRIA'!$H$90+E44),4)</f>
        <v>212549.62119999999</v>
      </c>
      <c r="F46" s="253">
        <f>TRUNC((F44*'PLANILHA ORÇAMENTÁRIA'!$H$90+F44),4)</f>
        <v>209857.4437</v>
      </c>
      <c r="G46" s="253">
        <f>TRUNC((G44*'PLANILHA ORÇAMENTÁRIA'!$H$90+G44),4)</f>
        <v>209029.48499999999</v>
      </c>
      <c r="H46" s="253">
        <f>TRUNC((H44*'PLANILHA ORÇAMENTÁRIA'!$H$90+H44),4)</f>
        <v>206713.04</v>
      </c>
      <c r="I46" s="253">
        <f>TRUNC((I44*'PLANILHA ORÇAMENTÁRIA'!$H$90+I44),4)</f>
        <v>205885.08</v>
      </c>
      <c r="J46" s="253">
        <f>TRUNC((J44*'PLANILHA ORÇAMENTÁRIA'!$H$90+J44),4)</f>
        <v>201289.32</v>
      </c>
      <c r="K46" s="253">
        <f>TRUNC((K44*'PLANILHA ORÇAMENTÁRIA'!$H$90+K44),4)</f>
        <v>200047.38</v>
      </c>
      <c r="L46" s="253">
        <f>TRUNC((L44*'PLANILHA ORÇAMENTÁRIA'!$H$90+L44),4)</f>
        <v>200047.38</v>
      </c>
      <c r="M46" s="253">
        <f>TRUNC((M44*'PLANILHA ORÇAMENTÁRIA'!$H$90+M44),4)</f>
        <v>200047.38</v>
      </c>
      <c r="N46" s="253">
        <f>TRUNC((N44*'PLANILHA ORÇAMENTÁRIA'!$H$90+N44),4)</f>
        <v>197749.5</v>
      </c>
      <c r="O46" s="253">
        <f>TRUNC((O44*'PLANILHA ORÇAMENTÁRIA'!$H$90+O44),4)+0.06</f>
        <v>193075.89249999999</v>
      </c>
      <c r="P46" s="291">
        <f>SUM(D46:O46)</f>
        <v>2451228.8498999998</v>
      </c>
      <c r="Q46" s="292"/>
      <c r="R46" s="292"/>
    </row>
    <row r="47" spans="1:18" ht="18.75" customHeight="1">
      <c r="A47" s="366" t="s">
        <v>14</v>
      </c>
      <c r="B47" s="367"/>
      <c r="C47" s="367"/>
      <c r="D47" s="293">
        <f>D46</f>
        <v>214937.32750000001</v>
      </c>
      <c r="E47" s="293">
        <f>D47+E46</f>
        <v>427486.94870000001</v>
      </c>
      <c r="F47" s="293">
        <f t="shared" ref="F47:O47" si="21">E47+F46</f>
        <v>637344.39240000001</v>
      </c>
      <c r="G47" s="293">
        <f t="shared" si="21"/>
        <v>846373.8774</v>
      </c>
      <c r="H47" s="293">
        <f t="shared" si="21"/>
        <v>1053086.9173999999</v>
      </c>
      <c r="I47" s="293">
        <f t="shared" si="21"/>
        <v>1258971.9974</v>
      </c>
      <c r="J47" s="293">
        <f t="shared" si="21"/>
        <v>1460261.3174000001</v>
      </c>
      <c r="K47" s="293">
        <f t="shared" si="21"/>
        <v>1660308.6973999999</v>
      </c>
      <c r="L47" s="293">
        <f t="shared" si="21"/>
        <v>1860356.0773999998</v>
      </c>
      <c r="M47" s="293">
        <f t="shared" si="21"/>
        <v>2060403.4573999997</v>
      </c>
      <c r="N47" s="293">
        <f t="shared" si="21"/>
        <v>2258152.9573999997</v>
      </c>
      <c r="O47" s="293">
        <f t="shared" si="21"/>
        <v>2451228.8498999998</v>
      </c>
      <c r="P47" s="294"/>
    </row>
    <row r="48" spans="1:18" ht="17.25" customHeight="1">
      <c r="A48" s="366" t="s">
        <v>15</v>
      </c>
      <c r="B48" s="367"/>
      <c r="C48" s="367"/>
      <c r="D48" s="295">
        <f t="shared" ref="D48:I48" si="22">D46/$P$46</f>
        <v>8.7685540870151138E-2</v>
      </c>
      <c r="E48" s="295">
        <f t="shared" si="22"/>
        <v>8.6711455443530358E-2</v>
      </c>
      <c r="F48" s="295">
        <f t="shared" si="22"/>
        <v>8.5613158358739672E-2</v>
      </c>
      <c r="G48" s="295">
        <f t="shared" si="22"/>
        <v>8.5275385449435914E-2</v>
      </c>
      <c r="H48" s="295">
        <f t="shared" si="22"/>
        <v>8.4330371686198558E-2</v>
      </c>
      <c r="I48" s="295">
        <f t="shared" si="22"/>
        <v>8.3992598246548575E-2</v>
      </c>
      <c r="J48" s="295">
        <f t="shared" ref="J48:O48" si="23">J46/$P$46</f>
        <v>8.2117718224559808E-2</v>
      </c>
      <c r="K48" s="295">
        <f t="shared" si="23"/>
        <v>8.1611058065084841E-2</v>
      </c>
      <c r="L48" s="295">
        <f t="shared" si="23"/>
        <v>8.1611058065084841E-2</v>
      </c>
      <c r="M48" s="295">
        <f t="shared" si="23"/>
        <v>8.1611058065084841E-2</v>
      </c>
      <c r="N48" s="295">
        <f t="shared" si="23"/>
        <v>8.0673618054090457E-2</v>
      </c>
      <c r="O48" s="295">
        <f t="shared" si="23"/>
        <v>7.8766979471491083E-2</v>
      </c>
      <c r="P48" s="294"/>
    </row>
    <row r="49" spans="1:16" ht="16.5" customHeight="1">
      <c r="A49" s="364" t="s">
        <v>16</v>
      </c>
      <c r="B49" s="365"/>
      <c r="C49" s="365"/>
      <c r="D49" s="263">
        <f>D48</f>
        <v>8.7685540870151138E-2</v>
      </c>
      <c r="E49" s="263">
        <f>D49+E48</f>
        <v>0.1743969963136815</v>
      </c>
      <c r="F49" s="263">
        <f t="shared" ref="F49:O49" si="24">E49+F48</f>
        <v>0.26001015467242117</v>
      </c>
      <c r="G49" s="263">
        <f t="shared" si="24"/>
        <v>0.34528554012185708</v>
      </c>
      <c r="H49" s="263">
        <f t="shared" si="24"/>
        <v>0.42961591180805564</v>
      </c>
      <c r="I49" s="263">
        <f t="shared" si="24"/>
        <v>0.51360851005460417</v>
      </c>
      <c r="J49" s="263">
        <f t="shared" si="24"/>
        <v>0.59572622827916399</v>
      </c>
      <c r="K49" s="263">
        <f t="shared" si="24"/>
        <v>0.67733728634424883</v>
      </c>
      <c r="L49" s="263">
        <f t="shared" si="24"/>
        <v>0.75894834440933368</v>
      </c>
      <c r="M49" s="263">
        <f t="shared" si="24"/>
        <v>0.84055940247441852</v>
      </c>
      <c r="N49" s="263">
        <f t="shared" si="24"/>
        <v>0.92123302052850897</v>
      </c>
      <c r="O49" s="263">
        <f t="shared" si="24"/>
        <v>1</v>
      </c>
      <c r="P49" s="296"/>
    </row>
    <row r="50" spans="1:16">
      <c r="B50" s="216" t="s">
        <v>356</v>
      </c>
      <c r="C50" s="217"/>
    </row>
    <row r="51" spans="1:16">
      <c r="B51" s="216" t="s">
        <v>357</v>
      </c>
      <c r="C51" s="217"/>
    </row>
    <row r="52" spans="1:16">
      <c r="B52" s="224" t="s">
        <v>358</v>
      </c>
      <c r="C52" s="225"/>
    </row>
  </sheetData>
  <mergeCells count="5">
    <mergeCell ref="A49:C49"/>
    <mergeCell ref="A47:C47"/>
    <mergeCell ref="A48:C48"/>
    <mergeCell ref="A5:C5"/>
    <mergeCell ref="A1:C1"/>
  </mergeCells>
  <printOptions horizontalCentered="1" gridLines="1"/>
  <pageMargins left="0.78740157480314965" right="1.7716535433070868" top="0.98425196850393704" bottom="0.78740157480314965" header="0.31496062992125984" footer="0.31496062992125984"/>
  <pageSetup paperSize="9" scale="70" orientation="landscape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view="pageBreakPreview" topLeftCell="A22" zoomScale="85" zoomScaleNormal="100" zoomScaleSheetLayoutView="85" workbookViewId="0">
      <selection activeCell="C54" sqref="C54"/>
    </sheetView>
  </sheetViews>
  <sheetFormatPr defaultColWidth="11.42578125" defaultRowHeight="12.75"/>
  <cols>
    <col min="1" max="1" width="7.28515625" style="157" customWidth="1"/>
    <col min="2" max="2" width="7.85546875" style="207" customWidth="1"/>
    <col min="3" max="3" width="13.42578125" style="207" customWidth="1"/>
    <col min="4" max="4" width="95.5703125" style="157" customWidth="1"/>
    <col min="5" max="5" width="5.42578125" style="207" customWidth="1"/>
    <col min="6" max="6" width="9.7109375" style="228" customWidth="1"/>
    <col min="7" max="7" width="10.28515625" style="229" customWidth="1"/>
    <col min="8" max="8" width="9.42578125" style="229" bestFit="1" customWidth="1"/>
    <col min="9" max="9" width="9.28515625" style="229" customWidth="1"/>
    <col min="10" max="10" width="14.5703125" style="229" customWidth="1"/>
    <col min="11" max="11" width="14.7109375" style="157" hidden="1" customWidth="1"/>
    <col min="12" max="12" width="16.42578125" style="157" hidden="1" customWidth="1"/>
    <col min="13" max="13" width="12.7109375" style="157" hidden="1" customWidth="1"/>
    <col min="14" max="14" width="11.5703125" style="157" bestFit="1" customWidth="1"/>
    <col min="15" max="16384" width="11.42578125" style="157"/>
  </cols>
  <sheetData>
    <row r="1" spans="1:13">
      <c r="A1" s="156"/>
      <c r="B1" s="373"/>
      <c r="C1" s="373"/>
      <c r="D1" s="373"/>
      <c r="E1" s="373"/>
      <c r="F1" s="373"/>
      <c r="G1" s="373"/>
      <c r="H1" s="373"/>
      <c r="I1" s="374"/>
      <c r="J1" s="375"/>
    </row>
    <row r="2" spans="1:13">
      <c r="A2" s="62" t="s">
        <v>319</v>
      </c>
      <c r="B2" s="64"/>
      <c r="C2" s="2"/>
      <c r="D2" s="2"/>
      <c r="E2" s="2"/>
      <c r="F2" s="2"/>
      <c r="G2" s="2"/>
      <c r="H2" s="2"/>
      <c r="I2" s="2"/>
      <c r="J2" s="3"/>
    </row>
    <row r="3" spans="1:13">
      <c r="A3" s="62" t="s">
        <v>332</v>
      </c>
      <c r="B3" s="75"/>
      <c r="C3" s="2"/>
      <c r="D3" s="2"/>
      <c r="E3" s="2"/>
      <c r="F3" s="2"/>
      <c r="G3" s="2"/>
      <c r="H3" s="2"/>
      <c r="I3" s="2"/>
      <c r="J3" s="3"/>
    </row>
    <row r="4" spans="1:13">
      <c r="A4" s="73" t="s">
        <v>321</v>
      </c>
      <c r="B4" s="75"/>
      <c r="C4" s="2"/>
      <c r="D4" s="2"/>
      <c r="E4" s="2"/>
      <c r="F4" s="2"/>
      <c r="G4" s="2"/>
      <c r="H4" s="2"/>
      <c r="I4" s="2"/>
      <c r="J4" s="3"/>
    </row>
    <row r="5" spans="1:13">
      <c r="A5" s="158"/>
      <c r="B5" s="159"/>
      <c r="C5" s="159"/>
      <c r="D5" s="159"/>
      <c r="E5" s="159"/>
      <c r="F5" s="160"/>
      <c r="G5" s="161"/>
      <c r="H5" s="161"/>
      <c r="I5" s="161"/>
      <c r="J5" s="162"/>
    </row>
    <row r="6" spans="1:13" ht="15.75">
      <c r="A6" s="163"/>
      <c r="B6" s="164"/>
      <c r="C6" s="164"/>
      <c r="D6" s="165" t="s">
        <v>140</v>
      </c>
      <c r="E6" s="164"/>
      <c r="F6" s="166"/>
      <c r="G6" s="167"/>
      <c r="H6" s="167"/>
      <c r="I6" s="167"/>
      <c r="J6" s="162"/>
    </row>
    <row r="7" spans="1:13">
      <c r="A7" s="379"/>
      <c r="B7" s="380"/>
      <c r="C7" s="380"/>
      <c r="D7" s="380"/>
      <c r="E7" s="380"/>
      <c r="F7" s="381"/>
      <c r="G7" s="376" t="s">
        <v>312</v>
      </c>
      <c r="H7" s="377"/>
      <c r="I7" s="378"/>
      <c r="J7" s="168" t="s">
        <v>118</v>
      </c>
    </row>
    <row r="8" spans="1:13" ht="25.5">
      <c r="A8" s="168" t="s">
        <v>5</v>
      </c>
      <c r="B8" s="168" t="s">
        <v>37</v>
      </c>
      <c r="C8" s="169" t="s">
        <v>6</v>
      </c>
      <c r="D8" s="91" t="s">
        <v>78</v>
      </c>
      <c r="E8" s="168" t="s">
        <v>0</v>
      </c>
      <c r="F8" s="170" t="s">
        <v>7</v>
      </c>
      <c r="G8" s="171" t="s">
        <v>31</v>
      </c>
      <c r="H8" s="169" t="s">
        <v>32</v>
      </c>
      <c r="I8" s="169" t="s">
        <v>117</v>
      </c>
      <c r="J8" s="172" t="s">
        <v>313</v>
      </c>
    </row>
    <row r="9" spans="1:13">
      <c r="A9" s="324"/>
      <c r="B9" s="325"/>
      <c r="C9" s="325"/>
      <c r="D9" s="326"/>
      <c r="E9" s="327"/>
      <c r="F9" s="328"/>
      <c r="G9" s="329"/>
      <c r="H9" s="330"/>
      <c r="I9" s="330"/>
      <c r="J9" s="331"/>
    </row>
    <row r="10" spans="1:13">
      <c r="A10" s="173">
        <v>1</v>
      </c>
      <c r="B10" s="174" t="s">
        <v>34</v>
      </c>
      <c r="C10" s="175"/>
      <c r="D10" s="176" t="s">
        <v>9</v>
      </c>
      <c r="E10" s="174"/>
      <c r="F10" s="177"/>
      <c r="G10" s="178"/>
      <c r="H10" s="178"/>
      <c r="I10" s="178"/>
      <c r="J10" s="179"/>
    </row>
    <row r="11" spans="1:13" s="187" customFormat="1">
      <c r="A11" s="180" t="s">
        <v>10</v>
      </c>
      <c r="B11" s="181">
        <v>1</v>
      </c>
      <c r="C11" s="182" t="str">
        <f>VLOOKUP($B11,COMPOSIÇÃO!$A$10:$K$217,3,FALSE)</f>
        <v>COTAÇÃO</v>
      </c>
      <c r="D11" s="183" t="str">
        <f>VLOOKUP($B11,COMPOSIÇÃO!$A$10:$K$228,4,FALSE)</f>
        <v>ART - ANOTAÇÃO DE RESPONSABILIDADE TÉCNICA</v>
      </c>
      <c r="E11" s="181" t="str">
        <f>VLOOKUP($B11,COMPOSIÇÃO!$A$10:$K$217,5,FALSE)</f>
        <v>UN</v>
      </c>
      <c r="F11" s="184">
        <v>1</v>
      </c>
      <c r="G11" s="185">
        <f>VLOOKUP($B11,COMPOSIÇÃO!$A$10:$K$228,9,FALSE)</f>
        <v>0</v>
      </c>
      <c r="H11" s="185">
        <f>VLOOKUP($B11,COMPOSIÇÃO!$A$10:$K$228,10,FALSE)</f>
        <v>214.82</v>
      </c>
      <c r="I11" s="185">
        <f>TRUNC((H11+G11),2)</f>
        <v>214.82</v>
      </c>
      <c r="J11" s="186">
        <f>TRUNC((H11+G11)*F11,2)</f>
        <v>214.82</v>
      </c>
    </row>
    <row r="12" spans="1:13" s="187" customFormat="1" ht="25.5">
      <c r="A12" s="180" t="s">
        <v>116</v>
      </c>
      <c r="B12" s="181">
        <v>3</v>
      </c>
      <c r="C12" s="182" t="str">
        <f>VLOOKUP($B12,COMPOSIÇÃO!$A$10:$K$217,3,FALSE)</f>
        <v xml:space="preserve">COMPOSIÇÃO REF.: 72872 </v>
      </c>
      <c r="D12" s="183" t="str">
        <f>VLOOKUP($B12,COMPOSIÇÃO!$A$10:$K$228,4,FALSE)</f>
        <v>MOBILIZACAO E DESMOBILIZAÇÃO DE 01 EQUIPAMENTO CAMINHÃO MUNCK COM CESTO AÉREO, DISTANCIA DE 10KM ATE 20KM</v>
      </c>
      <c r="E12" s="181" t="str">
        <f>VLOOKUP($B12,COMPOSIÇÃO!$A$10:$K$217,5,FALSE)</f>
        <v>UN</v>
      </c>
      <c r="F12" s="184">
        <v>6</v>
      </c>
      <c r="G12" s="185">
        <f>VLOOKUP($B12,COMPOSIÇÃO!$A$10:$K$228,9,FALSE)</f>
        <v>112.86</v>
      </c>
      <c r="H12" s="185">
        <f>VLOOKUP($B12,COMPOSIÇÃO!$A$10:$K$228,10,FALSE)</f>
        <v>145.26</v>
      </c>
      <c r="I12" s="185">
        <f t="shared" ref="I12" si="0">TRUNC((H12+G12),2)</f>
        <v>258.12</v>
      </c>
      <c r="J12" s="186">
        <f>TRUNC((H12+G12)*F12,2)</f>
        <v>1548.72</v>
      </c>
    </row>
    <row r="13" spans="1:13" s="187" customFormat="1">
      <c r="A13" s="180" t="s">
        <v>116</v>
      </c>
      <c r="B13" s="181">
        <v>4</v>
      </c>
      <c r="C13" s="182" t="str">
        <f>VLOOKUP($B13,COMPOSIÇÃO!$A$10:$K$217,3,FALSE)</f>
        <v>74209/001</v>
      </c>
      <c r="D13" s="183" t="str">
        <f>VLOOKUP($B13,COMPOSIÇÃO!$A$10:$K$228,4,FALSE)</f>
        <v>PLACA DE OBRA EM CHAPA DE ACO GALVANIZADO</v>
      </c>
      <c r="E13" s="181" t="str">
        <f>VLOOKUP($B13,COMPOSIÇÃO!$A$10:$K$217,5,FALSE)</f>
        <v>M2</v>
      </c>
      <c r="F13" s="184">
        <v>6</v>
      </c>
      <c r="G13" s="185">
        <f>VLOOKUP($B13,COMPOSIÇÃO!$A$10:$K$228,9,FALSE)</f>
        <v>223.21</v>
      </c>
      <c r="H13" s="185">
        <f>VLOOKUP($B13,COMPOSIÇÃO!$A$10:$K$228,10,FALSE)</f>
        <v>49.53</v>
      </c>
      <c r="I13" s="185">
        <f t="shared" ref="I13" si="1">TRUNC((H13+G13),2)</f>
        <v>272.74</v>
      </c>
      <c r="J13" s="186">
        <f>TRUNC((H13+G13)*F13,3)</f>
        <v>1636.44</v>
      </c>
    </row>
    <row r="14" spans="1:13" s="187" customFormat="1" ht="38.25">
      <c r="A14" s="180" t="s">
        <v>271</v>
      </c>
      <c r="B14" s="181">
        <v>5</v>
      </c>
      <c r="C14" s="182" t="str">
        <f>VLOOKUP($B14,COMPOSIÇÃO!$A$10:$K$217,3,FALSE)</f>
        <v>COMPOSIÇÃO REF.: 73847/001</v>
      </c>
      <c r="D14" s="183" t="str">
        <f>VLOOKUP($B14,COMPOSIÇÃO!$A$10:$K$228,4,FALSE)</f>
        <v>ESTADIA DE EQUIPE/EQUIPAMENTOS, CONSIDERANDO COMO RFERÊNCIA O ALUGUEL CONTAINER/ESCRIT INCL INST ELET LARG=2,20 COMP=6,20M, ALT=2,50M CHAPA ACO C/NERV TRAPEZ FORRO C/ISOL TERMO/ACUSTICO CHASSIS REFORC PISO COMPENS NAVAL EXC TRANSP/CARGA/DESCARGA</v>
      </c>
      <c r="E14" s="181" t="str">
        <f>VLOOKUP($B14,COMPOSIÇÃO!$A$10:$K$217,5,FALSE)</f>
        <v>MÊS</v>
      </c>
      <c r="F14" s="184">
        <v>6</v>
      </c>
      <c r="G14" s="185">
        <f>VLOOKUP($B14,COMPOSIÇÃO!$A$10:$K$228,9,FALSE)</f>
        <v>634.29999999999995</v>
      </c>
      <c r="H14" s="185">
        <f>VLOOKUP($B14,COMPOSIÇÃO!$A$10:$K$228,10,FALSE)</f>
        <v>35.700000000000003</v>
      </c>
      <c r="I14" s="185">
        <f t="shared" ref="I14" si="2">TRUNC((H14+G14),2)</f>
        <v>670</v>
      </c>
      <c r="J14" s="186">
        <f t="shared" ref="J14" si="3">TRUNC((H14+G14)*F14,3)</f>
        <v>4020</v>
      </c>
    </row>
    <row r="15" spans="1:13">
      <c r="A15" s="188"/>
      <c r="B15" s="189"/>
      <c r="C15" s="189"/>
      <c r="D15" s="190" t="s">
        <v>163</v>
      </c>
      <c r="E15" s="191"/>
      <c r="F15" s="192"/>
      <c r="G15" s="193"/>
      <c r="H15" s="193"/>
      <c r="I15" s="193"/>
      <c r="J15" s="197">
        <f>TRUNC(SUM(J11:J14),2)</f>
        <v>7419.98</v>
      </c>
      <c r="K15" s="194">
        <f>J15*1.2491</f>
        <v>9268.2970179999993</v>
      </c>
      <c r="L15" s="195">
        <f>K15*0.7509</f>
        <v>6959.5642308161996</v>
      </c>
      <c r="M15" s="196">
        <f>TRUNC((J15*1.2491),2)</f>
        <v>9268.2900000000009</v>
      </c>
    </row>
    <row r="16" spans="1:13">
      <c r="A16" s="188"/>
      <c r="B16" s="189"/>
      <c r="C16" s="189"/>
      <c r="D16" s="190"/>
      <c r="E16" s="191"/>
      <c r="F16" s="192"/>
      <c r="G16" s="193"/>
      <c r="H16" s="193"/>
      <c r="I16" s="193"/>
      <c r="J16" s="197"/>
      <c r="K16" s="194"/>
      <c r="L16" s="195"/>
      <c r="M16" s="196"/>
    </row>
    <row r="17" spans="1:14">
      <c r="A17" s="332"/>
      <c r="B17" s="333"/>
      <c r="C17" s="333"/>
      <c r="D17" s="334" t="s">
        <v>328</v>
      </c>
      <c r="E17" s="335"/>
      <c r="F17" s="336"/>
      <c r="G17" s="337"/>
      <c r="H17" s="337"/>
      <c r="I17" s="337"/>
      <c r="J17" s="338"/>
      <c r="K17" s="194"/>
      <c r="L17" s="195"/>
      <c r="M17" s="196"/>
    </row>
    <row r="18" spans="1:14">
      <c r="A18" s="340"/>
      <c r="B18" s="341"/>
      <c r="C18" s="341"/>
      <c r="D18" s="342" t="s">
        <v>331</v>
      </c>
      <c r="E18" s="343"/>
      <c r="F18" s="344"/>
      <c r="G18" s="345"/>
      <c r="H18" s="345"/>
      <c r="I18" s="345"/>
      <c r="J18" s="346"/>
      <c r="K18" s="194"/>
      <c r="L18" s="195"/>
      <c r="M18" s="196"/>
    </row>
    <row r="19" spans="1:14" s="198" customFormat="1">
      <c r="A19" s="173">
        <v>2</v>
      </c>
      <c r="B19" s="174" t="s">
        <v>34</v>
      </c>
      <c r="C19" s="199"/>
      <c r="D19" s="200" t="s">
        <v>89</v>
      </c>
      <c r="E19" s="199"/>
      <c r="F19" s="201"/>
      <c r="G19" s="202"/>
      <c r="H19" s="202"/>
      <c r="I19" s="202"/>
      <c r="J19" s="203"/>
      <c r="K19" s="194"/>
    </row>
    <row r="20" spans="1:14" s="198" customFormat="1" ht="25.5">
      <c r="A20" s="180" t="s">
        <v>30</v>
      </c>
      <c r="B20" s="181">
        <v>6</v>
      </c>
      <c r="C20" s="182" t="str">
        <f>VLOOKUP($B20,COMPOSIÇÃO!$A$10:$K$217,3,FALSE)</f>
        <v>93358</v>
      </c>
      <c r="D20" s="355" t="str">
        <f>VLOOKUP($B20,COMPOSIÇÃO!$A$10:$K$217,4,FALSE)</f>
        <v>ESCAVAÇÃO MANUAL DE VALAS. AF_03/2016 (VALA PARA TUBULAÇÃO E ATERRAMENTO DO TRANSFORMADOR)</v>
      </c>
      <c r="E20" s="181" t="str">
        <f>VLOOKUP($B20,COMPOSIÇÃO!$A$10:$K$217,5,FALSE)</f>
        <v>M3</v>
      </c>
      <c r="F20" s="184">
        <v>311</v>
      </c>
      <c r="G20" s="185">
        <f>VLOOKUP($B20,COMPOSIÇÃO!$A$10:$K$228,9,FALSE)</f>
        <v>0</v>
      </c>
      <c r="H20" s="185">
        <f>VLOOKUP($B20,COMPOSIÇÃO!$A$10:$K$228,10,FALSE)</f>
        <v>60.56</v>
      </c>
      <c r="I20" s="185">
        <f t="shared" ref="I20:I21" si="4">H20+G20</f>
        <v>60.56</v>
      </c>
      <c r="J20" s="186">
        <f t="shared" ref="J20:J21" si="5">TRUNC((H20+G20)*F20,2)</f>
        <v>18834.16</v>
      </c>
      <c r="K20" s="194">
        <f>(3180+120)*1.1*0.3*0.5</f>
        <v>544.5</v>
      </c>
      <c r="L20" s="198">
        <f>1300-244</f>
        <v>1056</v>
      </c>
    </row>
    <row r="21" spans="1:14" s="198" customFormat="1">
      <c r="A21" s="180" t="s">
        <v>35</v>
      </c>
      <c r="B21" s="181">
        <v>7</v>
      </c>
      <c r="C21" s="182" t="str">
        <f>VLOOKUP($B21,COMPOSIÇÃO!$A$10:$K$217,3,FALSE)</f>
        <v>73964/006</v>
      </c>
      <c r="D21" s="355" t="str">
        <f>VLOOKUP($B21,COMPOSIÇÃO!$A$10:$K$217,4,FALSE)</f>
        <v>REATERRO DE VALA COM COMPACTAÇÃO MANUAL</v>
      </c>
      <c r="E21" s="181" t="str">
        <f>VLOOKUP($B21,COMPOSIÇÃO!$A$10:$K$217,5,FALSE)</f>
        <v>M3</v>
      </c>
      <c r="F21" s="184">
        <v>311</v>
      </c>
      <c r="G21" s="185">
        <f>VLOOKUP($B21,COMPOSIÇÃO!$A$10:$K$228,9,FALSE)</f>
        <v>0</v>
      </c>
      <c r="H21" s="185">
        <f>VLOOKUP($B21,COMPOSIÇÃO!$A$10:$K$228,10,FALSE)</f>
        <v>45.93</v>
      </c>
      <c r="I21" s="185">
        <f t="shared" si="4"/>
        <v>45.93</v>
      </c>
      <c r="J21" s="186">
        <f t="shared" si="5"/>
        <v>14284.23</v>
      </c>
      <c r="K21" s="194"/>
    </row>
    <row r="22" spans="1:14" s="198" customFormat="1">
      <c r="A22" s="204"/>
      <c r="B22" s="189"/>
      <c r="C22" s="189"/>
      <c r="D22" s="190" t="s">
        <v>11</v>
      </c>
      <c r="E22" s="191"/>
      <c r="F22" s="192"/>
      <c r="G22" s="193"/>
      <c r="H22" s="205"/>
      <c r="I22" s="205"/>
      <c r="J22" s="197">
        <f>SUM(J20:J21)</f>
        <v>33118.39</v>
      </c>
      <c r="K22" s="194"/>
    </row>
    <row r="23" spans="1:14" s="198" customFormat="1">
      <c r="A23" s="180"/>
      <c r="B23" s="181"/>
      <c r="C23" s="182"/>
      <c r="D23" s="183"/>
      <c r="E23" s="181"/>
      <c r="F23" s="184"/>
      <c r="G23" s="185"/>
      <c r="H23" s="185"/>
      <c r="I23" s="185"/>
      <c r="J23" s="186"/>
      <c r="K23" s="194"/>
    </row>
    <row r="24" spans="1:14" s="198" customFormat="1">
      <c r="A24" s="173">
        <v>3</v>
      </c>
      <c r="B24" s="174" t="s">
        <v>34</v>
      </c>
      <c r="C24" s="199"/>
      <c r="D24" s="200" t="s">
        <v>93</v>
      </c>
      <c r="E24" s="199"/>
      <c r="F24" s="201"/>
      <c r="G24" s="202"/>
      <c r="H24" s="202"/>
      <c r="I24" s="202"/>
      <c r="J24" s="203"/>
      <c r="K24" s="194"/>
    </row>
    <row r="25" spans="1:14" s="198" customFormat="1" ht="25.5">
      <c r="A25" s="180" t="s">
        <v>183</v>
      </c>
      <c r="B25" s="181">
        <v>8</v>
      </c>
      <c r="C25" s="182">
        <f>VLOOKUP($B25,COMPOSIÇÃO!$A$10:$K$217,3,FALSE)</f>
        <v>94975</v>
      </c>
      <c r="D25" s="355" t="str">
        <f>VLOOKUP($B25,COMPOSIÇÃO!$A$10:$K$217,4,FALSE)</f>
        <v>CONCRETO FCK = 15MPA, TRAÇO 1:3,4:3,5 (CIMENTO/ AREIA MÉDIA/ BRITA 1) - PREPARO MANUAL. AF_07/2016 (PARA TRAVESSIAS E BASES DOS POSTES)</v>
      </c>
      <c r="E25" s="181" t="str">
        <f>VLOOKUP($B25,COMPOSIÇÃO!$A$10:$K$217,5,FALSE)</f>
        <v>M3</v>
      </c>
      <c r="F25" s="184">
        <v>1.62</v>
      </c>
      <c r="G25" s="185">
        <f>VLOOKUP($B25,COMPOSIÇÃO!$A$10:$K$228,9,FALSE)</f>
        <v>204.4</v>
      </c>
      <c r="H25" s="185">
        <f>VLOOKUP($B25,COMPOSIÇÃO!$A$10:$K$228,10,FALSE)</f>
        <v>153.4</v>
      </c>
      <c r="I25" s="185">
        <f t="shared" ref="I25" si="6">H25+G25</f>
        <v>357.8</v>
      </c>
      <c r="J25" s="186">
        <f t="shared" ref="J25" si="7">TRUNC((H25+G25)*F25,2)</f>
        <v>579.63</v>
      </c>
      <c r="K25" s="194">
        <f>210*0.3*0.1</f>
        <v>6.3000000000000007</v>
      </c>
      <c r="L25" s="198">
        <f>116*0.3*0.3</f>
        <v>10.44</v>
      </c>
      <c r="M25" s="214"/>
      <c r="N25" s="214">
        <f>M25+L25+K25</f>
        <v>16.740000000000002</v>
      </c>
    </row>
    <row r="26" spans="1:14" s="198" customFormat="1">
      <c r="A26" s="180" t="s">
        <v>272</v>
      </c>
      <c r="B26" s="181">
        <v>9</v>
      </c>
      <c r="C26" s="182" t="str">
        <f>VLOOKUP($B26,COMPOSIÇÃO!$A$10:$K$217,3,FALSE)</f>
        <v xml:space="preserve">74157/004 </v>
      </c>
      <c r="D26" s="355" t="str">
        <f>VLOOKUP($B26,COMPOSIÇÃO!$A$10:$K$217,4,FALSE)</f>
        <v>LANCAMENTO/APLICACAO MANUAL DE CONCRETO EM FUNDACOES</v>
      </c>
      <c r="E26" s="181" t="str">
        <f>VLOOKUP($B26,COMPOSIÇÃO!$A$10:$K$217,5,FALSE)</f>
        <v>M³</v>
      </c>
      <c r="F26" s="184">
        <v>1.62</v>
      </c>
      <c r="G26" s="185">
        <f>VLOOKUP($B26,COMPOSIÇÃO!$A$10:$K$228,9,FALSE)</f>
        <v>0.28000000000000003</v>
      </c>
      <c r="H26" s="185">
        <f>VLOOKUP($B26,COMPOSIÇÃO!$A$10:$K$228,10,FALSE)</f>
        <v>100.27</v>
      </c>
      <c r="I26" s="185">
        <f t="shared" ref="I26" si="8">H26+G26</f>
        <v>100.55</v>
      </c>
      <c r="J26" s="186">
        <f t="shared" ref="J26" si="9">TRUNC((H26+G26)*F26,2)</f>
        <v>162.88999999999999</v>
      </c>
      <c r="K26" s="194"/>
      <c r="M26" s="214"/>
    </row>
    <row r="27" spans="1:14" s="198" customFormat="1">
      <c r="A27" s="204"/>
      <c r="B27" s="189"/>
      <c r="C27" s="189"/>
      <c r="D27" s="190" t="s">
        <v>11</v>
      </c>
      <c r="E27" s="191"/>
      <c r="F27" s="192"/>
      <c r="G27" s="193"/>
      <c r="H27" s="205"/>
      <c r="I27" s="205"/>
      <c r="J27" s="197">
        <f>SUM(J25:J26)</f>
        <v>742.52</v>
      </c>
      <c r="K27" s="194"/>
    </row>
    <row r="28" spans="1:14" s="198" customFormat="1">
      <c r="A28" s="180"/>
      <c r="B28" s="181"/>
      <c r="C28" s="182"/>
      <c r="D28" s="183"/>
      <c r="E28" s="181"/>
      <c r="F28" s="184"/>
      <c r="G28" s="185"/>
      <c r="H28" s="185"/>
      <c r="I28" s="185"/>
      <c r="J28" s="186"/>
      <c r="K28" s="194"/>
    </row>
    <row r="29" spans="1:14" s="198" customFormat="1">
      <c r="A29" s="173">
        <v>4</v>
      </c>
      <c r="B29" s="174" t="s">
        <v>34</v>
      </c>
      <c r="C29" s="199"/>
      <c r="D29" s="200" t="s">
        <v>98</v>
      </c>
      <c r="E29" s="199"/>
      <c r="F29" s="201"/>
      <c r="G29" s="202"/>
      <c r="H29" s="202"/>
      <c r="I29" s="202"/>
      <c r="J29" s="203"/>
      <c r="K29" s="194"/>
    </row>
    <row r="30" spans="1:14" s="198" customFormat="1" ht="25.5">
      <c r="A30" s="180" t="s">
        <v>184</v>
      </c>
      <c r="B30" s="181">
        <v>10</v>
      </c>
      <c r="C30" s="182" t="str">
        <f>VLOOKUP($B30,COMPOSIÇÃO!$A$10:$K$229,3,FALSE)</f>
        <v xml:space="preserve">COMPOSIÇÃO REF: 91836 </v>
      </c>
      <c r="D30" s="355" t="str">
        <f>VLOOKUP($B30,COMPOSIÇÃO!$A$10:$K$229,4,FALSE)</f>
        <v>ELETRODUTO PVC FLEXÍVEL CORRUGADO, DN 32 MM (1"), PARA CIRCUITOS TERMINAIS, INSTALADO EM SOLO - FORNECIMENTO E INSTALAÇÃO.</v>
      </c>
      <c r="E30" s="181" t="str">
        <f>VLOOKUP($B30,COMPOSIÇÃO!$A$10:$K$229,5,FALSE)</f>
        <v>M</v>
      </c>
      <c r="F30" s="184">
        <v>100</v>
      </c>
      <c r="G30" s="185">
        <f>VLOOKUP($B30,COMPOSIÇÃO!$A$10:$K$229,9,FALSE)</f>
        <v>3.05</v>
      </c>
      <c r="H30" s="185">
        <f>VLOOKUP($B30,COMPOSIÇÃO!$A$10:$K$229,10,FALSE)</f>
        <v>3.2</v>
      </c>
      <c r="I30" s="185">
        <f t="shared" ref="I30:I31" si="10">H30+G30</f>
        <v>6.25</v>
      </c>
      <c r="J30" s="186">
        <f t="shared" ref="J30:J31" si="11">TRUNC((H30+G30)*F30,2)</f>
        <v>625</v>
      </c>
      <c r="K30" s="194"/>
    </row>
    <row r="31" spans="1:14" s="198" customFormat="1" ht="25.5">
      <c r="A31" s="180" t="s">
        <v>185</v>
      </c>
      <c r="B31" s="181">
        <v>11</v>
      </c>
      <c r="C31" s="182" t="str">
        <f>VLOOKUP($B31,COMPOSIÇÃO!$A$10:$K$229,3,FALSE)</f>
        <v>COMPOSIÇÃO REF: 93008</v>
      </c>
      <c r="D31" s="355" t="str">
        <f>VLOOKUP($B31,COMPOSIÇÃO!$A$10:$K$229,4,FALSE)</f>
        <v>ELETRODUTO PEAD FLEXÍVEL CORRUGADO, COR PRETA, DN 50 MM (11/2"), PARA CABEAMENTO SUBTERRÂNEO   (NBR 15715) - FORNECIMENTO E INSTALAÇÃO.</v>
      </c>
      <c r="E31" s="181" t="str">
        <f>VLOOKUP($B31,COMPOSIÇÃO!$A$10:$K$229,5,FALSE)</f>
        <v>M</v>
      </c>
      <c r="F31" s="184">
        <v>1700</v>
      </c>
      <c r="G31" s="185">
        <f>VLOOKUP($B31,COMPOSIÇÃO!$A$10:$K$229,9,FALSE)</f>
        <v>5.72</v>
      </c>
      <c r="H31" s="185">
        <f>VLOOKUP($B31,COMPOSIÇÃO!$A$10:$K$229,10,FALSE)</f>
        <v>3.9800000000000004</v>
      </c>
      <c r="I31" s="185">
        <f t="shared" si="10"/>
        <v>9.6999999999999993</v>
      </c>
      <c r="J31" s="186">
        <f t="shared" si="11"/>
        <v>16490</v>
      </c>
      <c r="K31" s="194"/>
    </row>
    <row r="32" spans="1:14" s="198" customFormat="1" ht="25.5">
      <c r="A32" s="180" t="s">
        <v>186</v>
      </c>
      <c r="B32" s="181">
        <v>12</v>
      </c>
      <c r="C32" s="182" t="str">
        <f>VLOOKUP($B32,COMPOSIÇÃO!$A$10:$K$229,3,FALSE)</f>
        <v>COMPOSIÇÃO REF.: 83446</v>
      </c>
      <c r="D32" s="355" t="str">
        <f>VLOOKUP($B32,COMPOSIÇÃO!$A$10:$K$229,4,FALSE)</f>
        <v>CAIXA DE PASSAGEM 30X30X40 COM TAMPA E DRENO BRITA</v>
      </c>
      <c r="E32" s="181" t="str">
        <f>VLOOKUP($B32,COMPOSIÇÃO!$A$10:$K$229,5,FALSE)</f>
        <v>UN</v>
      </c>
      <c r="F32" s="184">
        <v>54</v>
      </c>
      <c r="G32" s="185">
        <f>VLOOKUP($B32,COMPOSIÇÃO!$A$10:$K$229,9,FALSE)</f>
        <v>45.55</v>
      </c>
      <c r="H32" s="185">
        <f>VLOOKUP($B32,COMPOSIÇÃO!$A$10:$K$229,10,FALSE)</f>
        <v>100.56</v>
      </c>
      <c r="I32" s="185">
        <f t="shared" ref="I32" si="12">H32+G32</f>
        <v>146.11000000000001</v>
      </c>
      <c r="J32" s="186">
        <f t="shared" ref="J32" si="13">TRUNC((H32+G32)*F32,2)</f>
        <v>7889.94</v>
      </c>
      <c r="K32" s="194"/>
    </row>
    <row r="33" spans="1:11" s="198" customFormat="1" ht="25.5">
      <c r="A33" s="180" t="s">
        <v>187</v>
      </c>
      <c r="B33" s="181">
        <v>13</v>
      </c>
      <c r="C33" s="182">
        <f>VLOOKUP($B33,COMPOSIÇÃO!$A$10:$K$229,3,FALSE)</f>
        <v>92365</v>
      </c>
      <c r="D33" s="355" t="str">
        <f>VLOOKUP($B33,COMPOSIÇÃO!$A$10:$K$229,4,FALSE)</f>
        <v>TUBO DE AÇO GALVANIZADO COM COSTURA, CLASSE MÉDIA, DN 40 (1 1/2"), CONEXÃO ROSQUEADA, INSTALADO EM REDE DE ALIMENTAÇÃO PARA HIDRANTE - FORNECIMENTO E INSTALAÇÃO. AF_12/2015</v>
      </c>
      <c r="E33" s="181" t="str">
        <f>VLOOKUP($B33,COMPOSIÇÃO!$A$10:$K$229,5,FALSE)</f>
        <v>M</v>
      </c>
      <c r="F33" s="184">
        <v>210</v>
      </c>
      <c r="G33" s="185">
        <f>VLOOKUP($B33,COMPOSIÇÃO!$A$10:$K$229,9,FALSE)</f>
        <v>23.87</v>
      </c>
      <c r="H33" s="185">
        <f>VLOOKUP($B33,COMPOSIÇÃO!$A$10:$K$229,10,FALSE)</f>
        <v>6.82</v>
      </c>
      <c r="I33" s="185">
        <f t="shared" ref="I33:I35" si="14">H33+G33</f>
        <v>30.69</v>
      </c>
      <c r="J33" s="186">
        <f t="shared" ref="J33:J35" si="15">TRUNC((H33+G33)*F33,2)</f>
        <v>6444.9</v>
      </c>
      <c r="K33" s="194"/>
    </row>
    <row r="34" spans="1:11" s="198" customFormat="1" ht="25.5">
      <c r="A34" s="180" t="s">
        <v>188</v>
      </c>
      <c r="B34" s="181">
        <v>14</v>
      </c>
      <c r="C34" s="182" t="str">
        <f>VLOOKUP($B34,COMPOSIÇÃO!$A$10:$K$229,3,FALSE)</f>
        <v>COMPOSIÇÃO REF.: 91896</v>
      </c>
      <c r="D34" s="355" t="str">
        <f>VLOOKUP($B34,COMPOSIÇÃO!$A$10:$K$229,4,FALSE)</f>
        <v>CURVA 90 GRAUS, PVC, ROSCÁVEL, DN 50MM (11/2") - FORNECIMENTO E INSTALAÇÃO.</v>
      </c>
      <c r="E34" s="181" t="str">
        <f>VLOOKUP($B34,COMPOSIÇÃO!$A$10:$K$229,5,FALSE)</f>
        <v>UN</v>
      </c>
      <c r="F34" s="184">
        <v>4</v>
      </c>
      <c r="G34" s="185">
        <f>VLOOKUP($B34,COMPOSIÇÃO!$A$10:$K$229,9,FALSE)</f>
        <v>3.84</v>
      </c>
      <c r="H34" s="185">
        <f>VLOOKUP($B34,COMPOSIÇÃO!$A$10:$K$229,10,FALSE)</f>
        <v>9.2899999999999991</v>
      </c>
      <c r="I34" s="185">
        <f t="shared" si="14"/>
        <v>13.129999999999999</v>
      </c>
      <c r="J34" s="186">
        <f t="shared" si="15"/>
        <v>52.52</v>
      </c>
      <c r="K34" s="194"/>
    </row>
    <row r="35" spans="1:11" s="198" customFormat="1">
      <c r="A35" s="180" t="s">
        <v>189</v>
      </c>
      <c r="B35" s="181">
        <v>15</v>
      </c>
      <c r="C35" s="182">
        <f>VLOOKUP($B35,COMPOSIÇÃO!$A$10:$K$229,3,FALSE)</f>
        <v>93013</v>
      </c>
      <c r="D35" s="355" t="str">
        <f>VLOOKUP($B35,COMPOSIÇÃO!$A$10:$K$229,4,FALSE)</f>
        <v>LUVA PARA ELETRODUTO, PVC, ROSCÁVEL, DN 50 MM (1 1/2") - FORNECIMENTO E INSTALAÇÃO.</v>
      </c>
      <c r="E35" s="181" t="str">
        <f>VLOOKUP($B35,COMPOSIÇÃO!$A$10:$K$229,5,FALSE)</f>
        <v>UN</v>
      </c>
      <c r="F35" s="184">
        <v>4</v>
      </c>
      <c r="G35" s="185">
        <f>VLOOKUP($B35,COMPOSIÇÃO!$A$10:$K$229,9,FALSE)</f>
        <v>2.39</v>
      </c>
      <c r="H35" s="185">
        <f>VLOOKUP($B35,COMPOSIÇÃO!$A$10:$K$229,10,FALSE)</f>
        <v>7.9700000000000006</v>
      </c>
      <c r="I35" s="185">
        <f t="shared" si="14"/>
        <v>10.360000000000001</v>
      </c>
      <c r="J35" s="186">
        <f t="shared" si="15"/>
        <v>41.44</v>
      </c>
      <c r="K35" s="194"/>
    </row>
    <row r="36" spans="1:11" s="198" customFormat="1">
      <c r="A36" s="204"/>
      <c r="B36" s="189"/>
      <c r="C36" s="189"/>
      <c r="D36" s="190" t="s">
        <v>11</v>
      </c>
      <c r="E36" s="191"/>
      <c r="F36" s="192"/>
      <c r="G36" s="193"/>
      <c r="H36" s="205"/>
      <c r="I36" s="205"/>
      <c r="J36" s="197">
        <f>SUM(J30:J35)</f>
        <v>31543.799999999996</v>
      </c>
      <c r="K36" s="194"/>
    </row>
    <row r="37" spans="1:11" s="198" customFormat="1">
      <c r="A37" s="206"/>
      <c r="B37" s="207"/>
      <c r="C37" s="207"/>
      <c r="D37" s="208"/>
      <c r="E37" s="209"/>
      <c r="F37" s="210"/>
      <c r="G37" s="211"/>
      <c r="H37" s="212"/>
      <c r="I37" s="212"/>
      <c r="J37" s="213"/>
      <c r="K37" s="194"/>
    </row>
    <row r="38" spans="1:11" s="198" customFormat="1">
      <c r="A38" s="173">
        <v>5</v>
      </c>
      <c r="B38" s="174" t="s">
        <v>34</v>
      </c>
      <c r="C38" s="199"/>
      <c r="D38" s="200" t="s">
        <v>119</v>
      </c>
      <c r="E38" s="199"/>
      <c r="F38" s="201"/>
      <c r="G38" s="202"/>
      <c r="H38" s="202"/>
      <c r="I38" s="202"/>
      <c r="J38" s="203"/>
      <c r="K38" s="194"/>
    </row>
    <row r="39" spans="1:11" s="198" customFormat="1" ht="15.6" customHeight="1">
      <c r="A39" s="180" t="s">
        <v>190</v>
      </c>
      <c r="B39" s="181">
        <v>16</v>
      </c>
      <c r="C39" s="182" t="str">
        <f>VLOOKUP($B39,COMPOSIÇÃO!$A$10:$K$217,3,FALSE)</f>
        <v xml:space="preserve">COMPOSIÇÃO REF: 93653 </v>
      </c>
      <c r="D39" s="355" t="str">
        <f>VLOOKUP($B39,COMPOSIÇÃO!$A$10:$K$217,4,FALSE)</f>
        <v xml:space="preserve">DISJUNTOR MONOPOLAR TIPO DIN, CORRENTE NOMINAL DE 2A -  FORNECIMENTO E INSTALAÇÃO. </v>
      </c>
      <c r="E39" s="181" t="str">
        <f>VLOOKUP($B39,COMPOSIÇÃO!$A$10:$K$217,5,FALSE)</f>
        <v>UN</v>
      </c>
      <c r="F39" s="184">
        <v>4</v>
      </c>
      <c r="G39" s="185">
        <f>VLOOKUP($B39,COMPOSIÇÃO!$A$10:$K$228,9,FALSE)</f>
        <v>56.099999999999994</v>
      </c>
      <c r="H39" s="185">
        <f>VLOOKUP($B39,COMPOSIÇÃO!$A$10:$K$228,10,FALSE)</f>
        <v>1.23</v>
      </c>
      <c r="I39" s="185">
        <f t="shared" ref="I39:I45" si="16">H39+G39</f>
        <v>57.329999999999991</v>
      </c>
      <c r="J39" s="186">
        <f t="shared" ref="J39:J45" si="17">TRUNC((H39+G39)*F39,2)</f>
        <v>229.32</v>
      </c>
      <c r="K39" s="194"/>
    </row>
    <row r="40" spans="1:11" s="198" customFormat="1" ht="15" customHeight="1">
      <c r="A40" s="180" t="s">
        <v>191</v>
      </c>
      <c r="B40" s="181">
        <v>17</v>
      </c>
      <c r="C40" s="182" t="str">
        <f>VLOOKUP($B40,COMPOSIÇÃO!$A$10:$K$217,3,FALSE)</f>
        <v>93672</v>
      </c>
      <c r="D40" s="355" t="str">
        <f>VLOOKUP($B40,COMPOSIÇÃO!$A$10:$K$217,4,FALSE)</f>
        <v>DISJUNTOR TRIPOLAR TIPO DIN, CORRENTE NOMINAL DE 40A - FORNECIMENTO E INSTALAÇÃO. AF_04/2016</v>
      </c>
      <c r="E40" s="181" t="str">
        <f>VLOOKUP($B40,COMPOSIÇÃO!$A$10:$K$217,5,FALSE)</f>
        <v>UN</v>
      </c>
      <c r="F40" s="184">
        <v>4</v>
      </c>
      <c r="G40" s="185">
        <f>VLOOKUP($B40,COMPOSIÇÃO!$A$10:$K$228,9,FALSE)</f>
        <v>43.88</v>
      </c>
      <c r="H40" s="185">
        <f>VLOOKUP($B40,COMPOSIÇÃO!$A$10:$K$228,10,FALSE)</f>
        <v>14.45</v>
      </c>
      <c r="I40" s="185">
        <f t="shared" ref="I40" si="18">H40+G40</f>
        <v>58.33</v>
      </c>
      <c r="J40" s="186">
        <f t="shared" ref="J40" si="19">TRUNC((H40+G40)*F40,2)</f>
        <v>233.32</v>
      </c>
      <c r="K40" s="194"/>
    </row>
    <row r="41" spans="1:11" s="198" customFormat="1" ht="13.15" customHeight="1">
      <c r="A41" s="180" t="s">
        <v>192</v>
      </c>
      <c r="B41" s="181">
        <v>18</v>
      </c>
      <c r="C41" s="182" t="str">
        <f>VLOOKUP($B41,COMPOSIÇÃO!$A$10:$K$217,3,FALSE)</f>
        <v>COMPOSIÇÃO</v>
      </c>
      <c r="D41" s="355" t="str">
        <f>VLOOKUP($B41,COMPOSIÇÃO!$A$10:$K$217,4,FALSE)</f>
        <v>QUADRO DE DISTRIBUICAO DE ENERGIA DE SOBREPOR, EM CHAPA METÁLICA, NAS DIMENSÕES 500X400X200MM - FORNECIMENTO E INSTALAÇÃO.</v>
      </c>
      <c r="E41" s="181" t="str">
        <f>VLOOKUP($B41,COMPOSIÇÃO!$A$10:$K$217,5,FALSE)</f>
        <v>UN</v>
      </c>
      <c r="F41" s="184">
        <v>4</v>
      </c>
      <c r="G41" s="185">
        <f>VLOOKUP($B41,COMPOSIÇÃO!$A$10:$K$228,9,FALSE)</f>
        <v>820.18000000000006</v>
      </c>
      <c r="H41" s="185">
        <f>VLOOKUP($B41,COMPOSIÇÃO!$A$10:$K$228,10,FALSE)</f>
        <v>89.05</v>
      </c>
      <c r="I41" s="185">
        <f t="shared" ref="I41:I43" si="20">H41+G41</f>
        <v>909.23</v>
      </c>
      <c r="J41" s="186">
        <f t="shared" ref="J41:J43" si="21">TRUNC((H41+G41)*F41,2)</f>
        <v>3636.92</v>
      </c>
      <c r="K41" s="194"/>
    </row>
    <row r="42" spans="1:11" s="198" customFormat="1" ht="27" customHeight="1">
      <c r="A42" s="180" t="s">
        <v>193</v>
      </c>
      <c r="B42" s="181">
        <v>19</v>
      </c>
      <c r="C42" s="182" t="str">
        <f>VLOOKUP($B42,COMPOSIÇÃO!$A$10:$K$217,3,FALSE)</f>
        <v>COMPOSIÇÃO REF.: 68069</v>
      </c>
      <c r="D42" s="355" t="str">
        <f>VLOOKUP($B42,COMPOSIÇÃO!$A$10:$K$217,4,FALSE)</f>
        <v>HASTE DE ATERRAMENTO EM ACO COM 3,00 M DE COMPRIMENTO E DN = 5/8", REVESTIDA COM BAIXA CAMADA DE COBRE, COM CONECTOR CUNHA TRANSVERSAL HASTE/CABO - FORNECIMENTO E INSTALAÇÃO</v>
      </c>
      <c r="E42" s="181" t="str">
        <f>VLOOKUP($B42,COMPOSIÇÃO!$A$10:$K$217,5,FALSE)</f>
        <v>UN</v>
      </c>
      <c r="F42" s="184">
        <v>32</v>
      </c>
      <c r="G42" s="185">
        <f>VLOOKUP($B42,COMPOSIÇÃO!$A$10:$K$228,9,FALSE)</f>
        <v>41.71</v>
      </c>
      <c r="H42" s="185">
        <f>VLOOKUP($B42,COMPOSIÇÃO!$A$10:$K$228,10,FALSE)</f>
        <v>14.24</v>
      </c>
      <c r="I42" s="185">
        <f t="shared" si="20"/>
        <v>55.95</v>
      </c>
      <c r="J42" s="186">
        <f t="shared" si="21"/>
        <v>1790.4</v>
      </c>
      <c r="K42" s="194"/>
    </row>
    <row r="43" spans="1:11" s="198" customFormat="1">
      <c r="A43" s="180" t="s">
        <v>194</v>
      </c>
      <c r="B43" s="181">
        <v>20</v>
      </c>
      <c r="C43" s="182">
        <f>VLOOKUP($B43,COMPOSIÇÃO!$A$10:$K$217,3,FALSE)</f>
        <v>72343</v>
      </c>
      <c r="D43" s="355" t="str">
        <f>VLOOKUP($B43,COMPOSIÇÃO!$A$10:$K$217,4,FALSE)</f>
        <v>CONTATOR TRIPOLAR I NOMINAL 22A - FORNECIMENTO E INSTALACAO INCLUSIVE ELETROTÉCNICO</v>
      </c>
      <c r="E43" s="181" t="str">
        <f>VLOOKUP($B43,COMPOSIÇÃO!$A$10:$K$217,5,FALSE)</f>
        <v>UN</v>
      </c>
      <c r="F43" s="184">
        <v>2</v>
      </c>
      <c r="G43" s="185">
        <f>VLOOKUP($B43,COMPOSIÇÃO!$A$10:$K$228,9,FALSE)</f>
        <v>104.08</v>
      </c>
      <c r="H43" s="185">
        <f>VLOOKUP($B43,COMPOSIÇÃO!$A$10:$K$228,10,FALSE)</f>
        <v>139.39000000000001</v>
      </c>
      <c r="I43" s="185">
        <f t="shared" si="20"/>
        <v>243.47000000000003</v>
      </c>
      <c r="J43" s="186">
        <f t="shared" si="21"/>
        <v>486.94</v>
      </c>
      <c r="K43" s="194"/>
    </row>
    <row r="44" spans="1:11" s="198" customFormat="1">
      <c r="A44" s="180" t="s">
        <v>195</v>
      </c>
      <c r="B44" s="181">
        <v>21</v>
      </c>
      <c r="C44" s="182">
        <f>VLOOKUP($B44,COMPOSIÇÃO!$A$10:$K$217,3,FALSE)</f>
        <v>72344</v>
      </c>
      <c r="D44" s="355" t="str">
        <f>VLOOKUP($B44,COMPOSIÇÃO!$A$10:$K$217,4,FALSE)</f>
        <v>CONTATOR TRIPOLAR I NOMINAL 36A - FORNECIMENTO E INSTALACAO INCLUSIVE ELETROTÉCNICO</v>
      </c>
      <c r="E44" s="181" t="str">
        <f>VLOOKUP($B44,COMPOSIÇÃO!$A$10:$K$217,5,FALSE)</f>
        <v>UN</v>
      </c>
      <c r="F44" s="184">
        <v>2</v>
      </c>
      <c r="G44" s="185">
        <f>VLOOKUP($B44,COMPOSIÇÃO!$A$10:$K$228,9,FALSE)</f>
        <v>221.15</v>
      </c>
      <c r="H44" s="185">
        <f>VLOOKUP($B44,COMPOSIÇÃO!$A$10:$K$228,10,FALSE)</f>
        <v>149.16999999999999</v>
      </c>
      <c r="I44" s="185">
        <f t="shared" ref="I44" si="22">H44+G44</f>
        <v>370.32</v>
      </c>
      <c r="J44" s="186">
        <f t="shared" ref="J44" si="23">TRUNC((H44+G44)*F44,2)</f>
        <v>740.64</v>
      </c>
      <c r="K44" s="194"/>
    </row>
    <row r="45" spans="1:11" s="198" customFormat="1">
      <c r="A45" s="180" t="s">
        <v>221</v>
      </c>
      <c r="B45" s="181">
        <v>22</v>
      </c>
      <c r="C45" s="182" t="str">
        <f>VLOOKUP($B45,COMPOSIÇÃO!$A$10:$K$217,3,FALSE)</f>
        <v xml:space="preserve">COMPOSIÇÃO </v>
      </c>
      <c r="D45" s="355" t="str">
        <f>VLOOKUP($B45,COMPOSIÇÃO!$A$10:$K$217,4,FALSE)</f>
        <v>FUSÍVEL TIPO NH 30A - TAMANHO 00 - FORNECIMENTO E INSTALACAO</v>
      </c>
      <c r="E45" s="181" t="str">
        <f>VLOOKUP($B45,COMPOSIÇÃO!$A$10:$K$217,5,FALSE)</f>
        <v>UN</v>
      </c>
      <c r="F45" s="184">
        <v>12</v>
      </c>
      <c r="G45" s="185">
        <f>VLOOKUP($B45,COMPOSIÇÃO!$A$10:$K$228,9,FALSE)</f>
        <v>25</v>
      </c>
      <c r="H45" s="185">
        <f>VLOOKUP($B45,COMPOSIÇÃO!$A$10:$K$228,10,FALSE)</f>
        <v>3.94</v>
      </c>
      <c r="I45" s="185">
        <f t="shared" si="16"/>
        <v>28.94</v>
      </c>
      <c r="J45" s="186">
        <f t="shared" si="17"/>
        <v>347.28</v>
      </c>
      <c r="K45" s="194"/>
    </row>
    <row r="46" spans="1:11" s="198" customFormat="1">
      <c r="A46" s="180" t="s">
        <v>222</v>
      </c>
      <c r="B46" s="181">
        <v>23</v>
      </c>
      <c r="C46" s="182" t="str">
        <f>VLOOKUP($B46,COMPOSIÇÃO!$A$10:$K$217,3,FALSE)</f>
        <v>COMPOSIÇÃO</v>
      </c>
      <c r="D46" s="355" t="str">
        <f>VLOOKUP($B46,COMPOSIÇÃO!$A$10:$K$217,4,FALSE)</f>
        <v>BASE PARA FUSÍVEL TIPO NH - TAMANHO 00 - FORNECIMENTO E INSTALACAO</v>
      </c>
      <c r="E46" s="181" t="str">
        <f>VLOOKUP($B46,COMPOSIÇÃO!$A$10:$K$217,5,FALSE)</f>
        <v>UN</v>
      </c>
      <c r="F46" s="184">
        <v>12</v>
      </c>
      <c r="G46" s="185">
        <f>VLOOKUP($B46,COMPOSIÇÃO!$A$10:$K$228,9,FALSE)</f>
        <v>35.04</v>
      </c>
      <c r="H46" s="185">
        <f>VLOOKUP($B46,COMPOSIÇÃO!$A$10:$K$228,10,FALSE)</f>
        <v>23.67</v>
      </c>
      <c r="I46" s="185">
        <f t="shared" ref="I46:I47" si="24">H46+G46</f>
        <v>58.71</v>
      </c>
      <c r="J46" s="186">
        <f t="shared" ref="J46:J47" si="25">TRUNC((H46+G46)*F46,2)</f>
        <v>704.52</v>
      </c>
      <c r="K46" s="194"/>
    </row>
    <row r="47" spans="1:11" s="198" customFormat="1" ht="25.5">
      <c r="A47" s="180" t="s">
        <v>251</v>
      </c>
      <c r="B47" s="181">
        <v>24</v>
      </c>
      <c r="C47" s="182" t="str">
        <f>VLOOKUP($B47,COMPOSIÇÃO!$A$10:$K$217,3,FALSE)</f>
        <v>COMPOSIÇÃO REF: 83399</v>
      </c>
      <c r="D47" s="355" t="str">
        <f>VLOOKUP($B47,COMPOSIÇÃO!$A$10:$K$217,4,FALSE)</f>
        <v>RELE FOTOELETRICO P/ COMANDO DE ILUMINACAO EXTERNA 220V/1000W COM BASE - FORNECIMENTO E INSTALACAO</v>
      </c>
      <c r="E47" s="181" t="str">
        <f>VLOOKUP($B47,COMPOSIÇÃO!$A$10:$K$217,5,FALSE)</f>
        <v>UN</v>
      </c>
      <c r="F47" s="184">
        <v>4</v>
      </c>
      <c r="G47" s="185">
        <f>VLOOKUP($B47,COMPOSIÇÃO!$A$10:$K$228,9,FALSE)</f>
        <v>63.43</v>
      </c>
      <c r="H47" s="185">
        <f>VLOOKUP($B47,COMPOSIÇÃO!$A$10:$K$228,10,FALSE)</f>
        <v>12.239999999999998</v>
      </c>
      <c r="I47" s="185">
        <f t="shared" si="24"/>
        <v>75.67</v>
      </c>
      <c r="J47" s="186">
        <f t="shared" si="25"/>
        <v>302.68</v>
      </c>
      <c r="K47" s="194"/>
    </row>
    <row r="48" spans="1:11" s="198" customFormat="1">
      <c r="A48" s="204"/>
      <c r="B48" s="189"/>
      <c r="C48" s="189"/>
      <c r="D48" s="190" t="s">
        <v>11</v>
      </c>
      <c r="E48" s="191"/>
      <c r="F48" s="192"/>
      <c r="G48" s="193"/>
      <c r="H48" s="205"/>
      <c r="I48" s="205"/>
      <c r="J48" s="197">
        <f>SUM(J39:J47)</f>
        <v>8472.02</v>
      </c>
      <c r="K48" s="194"/>
    </row>
    <row r="49" spans="1:11" s="198" customFormat="1">
      <c r="A49" s="206"/>
      <c r="B49" s="207"/>
      <c r="C49" s="207"/>
      <c r="D49" s="208"/>
      <c r="E49" s="209"/>
      <c r="F49" s="210"/>
      <c r="G49" s="211"/>
      <c r="H49" s="212"/>
      <c r="I49" s="212"/>
      <c r="J49" s="213"/>
      <c r="K49" s="194"/>
    </row>
    <row r="50" spans="1:11" s="198" customFormat="1">
      <c r="A50" s="173">
        <v>6</v>
      </c>
      <c r="B50" s="174" t="s">
        <v>34</v>
      </c>
      <c r="C50" s="199"/>
      <c r="D50" s="200" t="s">
        <v>302</v>
      </c>
      <c r="E50" s="199"/>
      <c r="F50" s="201"/>
      <c r="G50" s="202"/>
      <c r="H50" s="202"/>
      <c r="I50" s="202"/>
      <c r="J50" s="203"/>
      <c r="K50" s="194"/>
    </row>
    <row r="51" spans="1:11" s="198" customFormat="1" ht="25.5">
      <c r="A51" s="180" t="s">
        <v>196</v>
      </c>
      <c r="B51" s="181">
        <v>25</v>
      </c>
      <c r="C51" s="182" t="str">
        <f>VLOOKUP($B51,COMPOSIÇÃO!$A$10:$K$217,3,FALSE)</f>
        <v>COMPOSIÇÃO REF: 91929</v>
      </c>
      <c r="D51" s="355" t="str">
        <f>VLOOKUP($B51,COMPOSIÇÃO!$A$10:$K$217,4,FALSE)</f>
        <v xml:space="preserve">CABO DE COBRE FLEXÍVEL MULTIPOLAR COLORIDO 0,6/1KV , TIPO PP, 3X2,5 MM² - FORNECIMENTO E INSTALAÇÃO. </v>
      </c>
      <c r="E51" s="181" t="str">
        <f>VLOOKUP($B51,COMPOSIÇÃO!$A$10:$K$217,5,FALSE)</f>
        <v>M</v>
      </c>
      <c r="F51" s="184">
        <v>1334</v>
      </c>
      <c r="G51" s="185">
        <f>VLOOKUP($B51,COMPOSIÇÃO!$A$10:$K$228,9,FALSE)</f>
        <v>6.6499999999999995</v>
      </c>
      <c r="H51" s="185">
        <f>VLOOKUP($B51,COMPOSIÇÃO!$A$10:$K$228,10,FALSE)</f>
        <v>1.4100000000000001</v>
      </c>
      <c r="I51" s="185">
        <f t="shared" ref="I51:I54" si="26">H51+G51</f>
        <v>8.0599999999999987</v>
      </c>
      <c r="J51" s="186">
        <f t="shared" ref="J51:J54" si="27">TRUNC((H51+G51)*F51,2)</f>
        <v>10752.04</v>
      </c>
      <c r="K51" s="194" t="s">
        <v>146</v>
      </c>
    </row>
    <row r="52" spans="1:11" s="198" customFormat="1" ht="25.5">
      <c r="A52" s="180" t="s">
        <v>197</v>
      </c>
      <c r="B52" s="181">
        <v>26</v>
      </c>
      <c r="C52" s="182" t="str">
        <f>VLOOKUP($B52,COMPOSIÇÃO!$A$10:$K$217,3,FALSE)</f>
        <v>91929</v>
      </c>
      <c r="D52" s="355" t="str">
        <f>VLOOKUP($B52,COMPOSIÇÃO!$A$10:$K$217,4,FALSE)</f>
        <v>CABO DE COBRE FLEXÍVEL ISOLADO, 4 MM², ANTI-CHAMA 0,6/1,0 KV, PARA CIRCUITOS TERMINAIS - FORNECIMENTO E INSTALAÇÃO. AF_12/2015 (cor verde para aterramento)</v>
      </c>
      <c r="E52" s="181" t="str">
        <f>VLOOKUP($B52,COMPOSIÇÃO!$A$10:$K$217,5,FALSE)</f>
        <v>M</v>
      </c>
      <c r="F52" s="184">
        <v>500</v>
      </c>
      <c r="G52" s="185">
        <f>VLOOKUP($B52,COMPOSIÇÃO!$A$10:$K$228,9,FALSE)</f>
        <v>2.67</v>
      </c>
      <c r="H52" s="185">
        <f>VLOOKUP($B52,COMPOSIÇÃO!$A$10:$K$228,10,FALSE)</f>
        <v>1.4100000000000001</v>
      </c>
      <c r="I52" s="185">
        <f t="shared" si="26"/>
        <v>4.08</v>
      </c>
      <c r="J52" s="186">
        <f t="shared" si="27"/>
        <v>2040</v>
      </c>
      <c r="K52" s="194" t="s">
        <v>146</v>
      </c>
    </row>
    <row r="53" spans="1:11" s="198" customFormat="1" ht="25.5">
      <c r="A53" s="180" t="s">
        <v>198</v>
      </c>
      <c r="B53" s="181">
        <v>27</v>
      </c>
      <c r="C53" s="182" t="str">
        <f>VLOOKUP($B53,COMPOSIÇÃO!$A$10:$K$217,3,FALSE)</f>
        <v>91931</v>
      </c>
      <c r="D53" s="355" t="str">
        <f>VLOOKUP($B53,COMPOSIÇÃO!$A$10:$K$217,4,FALSE)</f>
        <v>CABO DE COBRE FLEXÍVEL ISOLADO, 6 MM², ANTI-CHAMA 0,6/1,0 KV, PARA CIRCUITOS TERMINAIS - FORNECIMENTO E INSTALAÇÃO. AF_12/2015</v>
      </c>
      <c r="E53" s="181" t="str">
        <f>VLOOKUP($B53,COMPOSIÇÃO!$A$10:$K$217,5,FALSE)</f>
        <v>M</v>
      </c>
      <c r="F53" s="184">
        <v>3300</v>
      </c>
      <c r="G53" s="185">
        <f>VLOOKUP($B53,COMPOSIÇÃO!$A$10:$K$228,9,FALSE)</f>
        <v>3.63</v>
      </c>
      <c r="H53" s="185">
        <f>VLOOKUP($B53,COMPOSIÇÃO!$A$10:$K$228,10,FALSE)</f>
        <v>1.8399999999999999</v>
      </c>
      <c r="I53" s="185">
        <f t="shared" si="26"/>
        <v>5.47</v>
      </c>
      <c r="J53" s="186">
        <f t="shared" si="27"/>
        <v>18051</v>
      </c>
      <c r="K53" s="194" t="s">
        <v>146</v>
      </c>
    </row>
    <row r="54" spans="1:11" s="198" customFormat="1" ht="25.5">
      <c r="A54" s="180" t="s">
        <v>199</v>
      </c>
      <c r="B54" s="181">
        <v>28</v>
      </c>
      <c r="C54" s="182" t="str">
        <f>VLOOKUP($B54,COMPOSIÇÃO!$A$10:$K$217,3,FALSE)</f>
        <v>91933</v>
      </c>
      <c r="D54" s="355" t="str">
        <f>VLOOKUP($B54,COMPOSIÇÃO!$A$10:$K$217,4,FALSE)</f>
        <v>CABO DE COBRE FLEXÍVEL ISOLADO, 10 MM², ANTI-CHAMA 0,6/1,0 KV, PARA CIRCUITOS TERMINAIS - FORNECIMENTO E INSTALAÇÃO. AF_12/2015</v>
      </c>
      <c r="E54" s="181" t="str">
        <f>VLOOKUP($B54,COMPOSIÇÃO!$A$10:$K$217,5,FALSE)</f>
        <v>M</v>
      </c>
      <c r="F54" s="184">
        <v>1500</v>
      </c>
      <c r="G54" s="185">
        <f>VLOOKUP($B54,COMPOSIÇÃO!$A$10:$K$228,9,FALSE)</f>
        <v>5.8100000000000005</v>
      </c>
      <c r="H54" s="185">
        <f>VLOOKUP($B54,COMPOSIÇÃO!$A$10:$K$228,10,FALSE)</f>
        <v>2.73</v>
      </c>
      <c r="I54" s="185">
        <f t="shared" si="26"/>
        <v>8.5400000000000009</v>
      </c>
      <c r="J54" s="186">
        <f t="shared" si="27"/>
        <v>12810</v>
      </c>
      <c r="K54" s="194" t="s">
        <v>146</v>
      </c>
    </row>
    <row r="55" spans="1:11" s="198" customFormat="1" ht="25.5">
      <c r="A55" s="180" t="s">
        <v>246</v>
      </c>
      <c r="B55" s="181">
        <v>29</v>
      </c>
      <c r="C55" s="182">
        <f>VLOOKUP($B55,COMPOSIÇÃO!$A$10:$K$217,3,FALSE)</f>
        <v>92982</v>
      </c>
      <c r="D55" s="355" t="str">
        <f>VLOOKUP($B55,COMPOSIÇÃO!$A$10:$K$217,4,FALSE)</f>
        <v>CABO DE COBRE FLEXÍVEL ISOLADO, 16 MM², ANTI-CHAMA 0,6/1,0 KV, PARA CIRCUITOS TERMINAIS - FORNECIMENTO E INSTALAÇÃO. AF_12/2015</v>
      </c>
      <c r="E55" s="181" t="str">
        <f>VLOOKUP($B55,COMPOSIÇÃO!$A$10:$K$217,5,FALSE)</f>
        <v>M</v>
      </c>
      <c r="F55" s="184">
        <v>1300</v>
      </c>
      <c r="G55" s="185">
        <f>VLOOKUP($B55,COMPOSIÇÃO!$A$10:$K$228,9,FALSE)</f>
        <v>7.69</v>
      </c>
      <c r="H55" s="185">
        <f>VLOOKUP($B55,COMPOSIÇÃO!$A$10:$K$228,10,FALSE)</f>
        <v>0.45</v>
      </c>
      <c r="I55" s="185">
        <f t="shared" ref="I55:I56" si="28">H55+G55</f>
        <v>8.14</v>
      </c>
      <c r="J55" s="186">
        <f t="shared" ref="J55:J56" si="29">TRUNC((H55+G55)*F55,2)</f>
        <v>10582</v>
      </c>
      <c r="K55" s="194"/>
    </row>
    <row r="56" spans="1:11" s="198" customFormat="1" ht="25.5">
      <c r="A56" s="180" t="s">
        <v>247</v>
      </c>
      <c r="B56" s="181">
        <v>30</v>
      </c>
      <c r="C56" s="182">
        <f>VLOOKUP($B56,COMPOSIÇÃO!$A$10:$K$217,3,FALSE)</f>
        <v>92984</v>
      </c>
      <c r="D56" s="355" t="str">
        <f>VLOOKUP($B56,COMPOSIÇÃO!$A$10:$K$217,4,FALSE)</f>
        <v>CABO DE COBRE FLEXÍVEL ISOLADO, 25 MM², ANTI-CHAMA 0,6/1,0 KV, PARA CIRCUITOS TERMINAIS - FORNECIMENTO E INSTALAÇÃO. AF_12/2015</v>
      </c>
      <c r="E56" s="181" t="str">
        <f>VLOOKUP($B56,COMPOSIÇÃO!$A$10:$K$217,5,FALSE)</f>
        <v>M</v>
      </c>
      <c r="F56" s="184">
        <v>50</v>
      </c>
      <c r="G56" s="185">
        <f>VLOOKUP($B56,COMPOSIÇÃO!$A$10:$K$228,9,FALSE)</f>
        <v>11.559999999999999</v>
      </c>
      <c r="H56" s="185">
        <f>VLOOKUP($B56,COMPOSIÇÃO!$A$10:$K$228,10,FALSE)</f>
        <v>2.27</v>
      </c>
      <c r="I56" s="185">
        <f t="shared" si="28"/>
        <v>13.829999999999998</v>
      </c>
      <c r="J56" s="186">
        <f t="shared" si="29"/>
        <v>691.5</v>
      </c>
      <c r="K56" s="194"/>
    </row>
    <row r="57" spans="1:11" s="198" customFormat="1">
      <c r="A57" s="204"/>
      <c r="B57" s="189"/>
      <c r="C57" s="189"/>
      <c r="D57" s="190" t="s">
        <v>11</v>
      </c>
      <c r="E57" s="191"/>
      <c r="F57" s="192"/>
      <c r="G57" s="193"/>
      <c r="H57" s="205"/>
      <c r="I57" s="205"/>
      <c r="J57" s="197">
        <f>SUM(J51:J56)</f>
        <v>54926.54</v>
      </c>
      <c r="K57" s="194"/>
    </row>
    <row r="58" spans="1:11" s="198" customFormat="1">
      <c r="A58" s="206"/>
      <c r="B58" s="207"/>
      <c r="C58" s="207"/>
      <c r="D58" s="208"/>
      <c r="E58" s="209"/>
      <c r="F58" s="210"/>
      <c r="G58" s="211"/>
      <c r="H58" s="212"/>
      <c r="I58" s="212"/>
      <c r="J58" s="213"/>
      <c r="K58" s="194"/>
    </row>
    <row r="59" spans="1:11" s="198" customFormat="1">
      <c r="A59" s="173">
        <v>7</v>
      </c>
      <c r="B59" s="174" t="s">
        <v>34</v>
      </c>
      <c r="C59" s="199"/>
      <c r="D59" s="200" t="s">
        <v>135</v>
      </c>
      <c r="E59" s="199"/>
      <c r="F59" s="201"/>
      <c r="G59" s="202"/>
      <c r="H59" s="202"/>
      <c r="I59" s="202"/>
      <c r="J59" s="203"/>
      <c r="K59" s="194"/>
    </row>
    <row r="60" spans="1:11" s="198" customFormat="1" ht="55.15" customHeight="1">
      <c r="A60" s="180" t="s">
        <v>200</v>
      </c>
      <c r="B60" s="181">
        <v>32</v>
      </c>
      <c r="C60" s="182" t="str">
        <f>VLOOKUP($B60,COMPOSIÇÃO!$A$10:$K$228,3,FALSE)</f>
        <v xml:space="preserve">COMPOSIÇÃOREF: 73769/003 </v>
      </c>
      <c r="D60" s="355" t="str">
        <f>VLOOKUP($B60,COMPOSIÇÃO!$A$10:$K$228,4,FALSE)</f>
        <v>POSTE DE AÇO GALVANIZADO A FOGO INTERNA E EXTERNAMENTE CONFORME NORMAS NBR 6323, 7399 E 7400 DA ABNT, COM 12,00 METROS DE ALTURA E DOTADO DE DOIS BRAÇOS ORNAMENTAIS OPOSTOS NA CONFORMAÇÃO ESTILIZADA DE UM PEIXE, PARA INSTALAÇÃO DE LUMINÁRIAS, SENDO O BRAÇO SUPERIOR COM ALTÚRA ÚTIL A 10,00M E O INFERIOR A 6,70M DO NÍVEL DO SOLO.   - FORNECIMENTO E COLOCAÇÃO</v>
      </c>
      <c r="E60" s="181" t="str">
        <f>VLOOKUP($B60,COMPOSIÇÃO!$A$10:$K$228,5,FALSE)</f>
        <v>UN</v>
      </c>
      <c r="F60" s="184">
        <v>29</v>
      </c>
      <c r="G60" s="185">
        <f>VLOOKUP($B60,COMPOSIÇÃO!$A$10:$K$228,9,FALSE)</f>
        <v>2978.3</v>
      </c>
      <c r="H60" s="185">
        <f>VLOOKUP($B60,COMPOSIÇÃO!$A$10:$K$228,10,FALSE)</f>
        <v>82.75</v>
      </c>
      <c r="I60" s="185">
        <f t="shared" ref="I60" si="30">H60+G60</f>
        <v>3061.05</v>
      </c>
      <c r="J60" s="186">
        <f t="shared" ref="J60" si="31">TRUNC((H60+G60)*F60,2)</f>
        <v>88770.45</v>
      </c>
      <c r="K60" s="194"/>
    </row>
    <row r="61" spans="1:11" s="198" customFormat="1" ht="89.25">
      <c r="A61" s="180" t="s">
        <v>201</v>
      </c>
      <c r="B61" s="181">
        <v>33</v>
      </c>
      <c r="C61" s="182" t="str">
        <f>VLOOKUP($B61,COMPOSIÇÃO!$A$10:$K$228,3,FALSE)</f>
        <v xml:space="preserve">COMPOSIÇÃO REF: 74231/001 </v>
      </c>
      <c r="D61" s="355" t="str">
        <f>VLOOKUP($B61,COMPOSIÇÃO!$A$10:$K$228,4,FALSE)</f>
        <v>LUMINARIA DE LED PARA ILUMINACAO PÚBLICA, COM POTÊNCIA DE CONSUMO DE 150W E EFICIÊNCIA 110LM/W, FLUXO TOTAL MÍNIMO 16.500LM,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v>
      </c>
      <c r="E61" s="181" t="str">
        <f>VLOOKUP($B61,COMPOSIÇÃO!$A$10:$K$228,5,FALSE)</f>
        <v>UN</v>
      </c>
      <c r="F61" s="184">
        <v>29</v>
      </c>
      <c r="G61" s="185">
        <f>VLOOKUP($B61,COMPOSIÇÃO!$A$10:$K$228,9,FALSE)</f>
        <v>1757.17</v>
      </c>
      <c r="H61" s="185">
        <f>VLOOKUP($B61,COMPOSIÇÃO!$A$10:$K$228,10,FALSE)</f>
        <v>50.32</v>
      </c>
      <c r="I61" s="185">
        <f t="shared" ref="I61" si="32">H61+G61</f>
        <v>1807.49</v>
      </c>
      <c r="J61" s="186">
        <f t="shared" ref="J61" si="33">TRUNC((H61+G61)*F61,2)</f>
        <v>52417.21</v>
      </c>
      <c r="K61" s="194"/>
    </row>
    <row r="62" spans="1:11" s="198" customFormat="1" ht="89.25">
      <c r="A62" s="180" t="s">
        <v>256</v>
      </c>
      <c r="B62" s="181">
        <v>34</v>
      </c>
      <c r="C62" s="182" t="str">
        <f>VLOOKUP($B62,COMPOSIÇÃO!$A$10:$K$228,3,FALSE)</f>
        <v xml:space="preserve">COMPOSIÇÃO REF: 74231/001 </v>
      </c>
      <c r="D62" s="355" t="str">
        <f>VLOOKUP($B62,COMPOSIÇÃO!$A$10:$K$228,4,FALSE)</f>
        <v>LUMINARIA DE LED PARA ILUMINACAO PÚBLICA, COM POTÊNCIA DE CONSUMO DE 100W E EFICIÊNCIA 110LM/W, FLUXO TOTAL MÍNIMO 11.000LM,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v>
      </c>
      <c r="E62" s="181" t="str">
        <f>VLOOKUP($B62,COMPOSIÇÃO!$A$10:$K$228,5,FALSE)</f>
        <v>UN</v>
      </c>
      <c r="F62" s="184">
        <v>29</v>
      </c>
      <c r="G62" s="185">
        <f>VLOOKUP($B62,COMPOSIÇÃO!$A$10:$K$228,9,FALSE)</f>
        <v>1420.1200000000001</v>
      </c>
      <c r="H62" s="185">
        <f>VLOOKUP($B62,COMPOSIÇÃO!$A$10:$K$228,10,FALSE)</f>
        <v>50.32</v>
      </c>
      <c r="I62" s="185">
        <f t="shared" ref="I62" si="34">H62+G62</f>
        <v>1470.44</v>
      </c>
      <c r="J62" s="186">
        <f t="shared" ref="J62" si="35">TRUNC((H62+G62)*F62,2)</f>
        <v>42642.76</v>
      </c>
      <c r="K62" s="194"/>
    </row>
    <row r="63" spans="1:11" s="198" customFormat="1">
      <c r="A63" s="204"/>
      <c r="B63" s="189"/>
      <c r="C63" s="189"/>
      <c r="D63" s="190" t="s">
        <v>11</v>
      </c>
      <c r="E63" s="191"/>
      <c r="F63" s="192"/>
      <c r="G63" s="193"/>
      <c r="H63" s="205"/>
      <c r="I63" s="205"/>
      <c r="J63" s="197">
        <f>SUM(J60:J62)</f>
        <v>183830.42</v>
      </c>
      <c r="K63" s="194"/>
    </row>
    <row r="64" spans="1:11" s="198" customFormat="1">
      <c r="A64" s="206"/>
      <c r="B64" s="207"/>
      <c r="C64" s="207"/>
      <c r="D64" s="208"/>
      <c r="E64" s="209"/>
      <c r="F64" s="210"/>
      <c r="G64" s="211"/>
      <c r="H64" s="212"/>
      <c r="I64" s="212"/>
      <c r="J64" s="213"/>
      <c r="K64" s="194"/>
    </row>
    <row r="65" spans="1:12" s="198" customFormat="1">
      <c r="A65" s="173">
        <v>8</v>
      </c>
      <c r="B65" s="174" t="s">
        <v>34</v>
      </c>
      <c r="C65" s="199"/>
      <c r="D65" s="200" t="s">
        <v>136</v>
      </c>
      <c r="E65" s="199"/>
      <c r="F65" s="201"/>
      <c r="G65" s="202"/>
      <c r="H65" s="202"/>
      <c r="I65" s="202"/>
      <c r="J65" s="203"/>
      <c r="K65" s="194"/>
    </row>
    <row r="66" spans="1:12" s="198" customFormat="1">
      <c r="A66" s="180" t="s">
        <v>141</v>
      </c>
      <c r="B66" s="181">
        <v>35</v>
      </c>
      <c r="C66" s="182">
        <f>VLOOKUP($B66,COMPOSIÇÃO!$A$10:$K$369,3,FALSE)</f>
        <v>72271</v>
      </c>
      <c r="D66" s="355" t="str">
        <f>VLOOKUP($B66,COMPOSIÇÃO!$A$10:$K$369,4,FALSE)</f>
        <v>CONECTOR PARAFUSO FENDIDO SPLIT-BOLT - PARA CABO DE 16MM2 - FORNECIMENTO E INSTALAÇÃO</v>
      </c>
      <c r="E66" s="181" t="str">
        <f>VLOOKUP($B66,COMPOSIÇÃO!$A$10:$K$369,5,FALSE)</f>
        <v>UN.</v>
      </c>
      <c r="F66" s="184">
        <v>87</v>
      </c>
      <c r="G66" s="185">
        <f>VLOOKUP($B66,COMPOSIÇÃO!$A$10:$K$228,9,FALSE)</f>
        <v>2.85</v>
      </c>
      <c r="H66" s="185">
        <f>VLOOKUP($B66,COMPOSIÇÃO!$A$10:$K$228,10,FALSE)</f>
        <v>7.12</v>
      </c>
      <c r="I66" s="185">
        <f t="shared" ref="I66" si="36">H66+G66</f>
        <v>9.9700000000000006</v>
      </c>
      <c r="J66" s="186">
        <f t="shared" ref="J66" si="37">TRUNC((H66+G66)*F66,2)</f>
        <v>867.39</v>
      </c>
      <c r="K66" s="194">
        <f>37*3</f>
        <v>111</v>
      </c>
    </row>
    <row r="67" spans="1:12" s="198" customFormat="1">
      <c r="A67" s="180" t="s">
        <v>142</v>
      </c>
      <c r="B67" s="181">
        <v>36</v>
      </c>
      <c r="C67" s="182">
        <f>VLOOKUP($B67,COMPOSIÇÃO!$A$10:$K$369,3,FALSE)</f>
        <v>72272</v>
      </c>
      <c r="D67" s="355" t="str">
        <f>VLOOKUP($B67,COMPOSIÇÃO!$A$10:$K$369,4,FALSE)</f>
        <v>CONECTOR PARAFUSO FENDIDO SPLIT-BOLT - PARA CABO DE 35MM2 - FORNECIMENTO E INSTALAÇÃO</v>
      </c>
      <c r="E67" s="181" t="str">
        <f>VLOOKUP($B67,COMPOSIÇÃO!$A$10:$K$369,5,FALSE)</f>
        <v>UN.</v>
      </c>
      <c r="F67" s="184">
        <v>6</v>
      </c>
      <c r="G67" s="185">
        <f>VLOOKUP($B67,COMPOSIÇÃO!$A$10:$K$228,9,FALSE)</f>
        <v>3.76</v>
      </c>
      <c r="H67" s="185">
        <f>VLOOKUP($B67,COMPOSIÇÃO!$A$10:$K$228,10,FALSE)</f>
        <v>7.12</v>
      </c>
      <c r="I67" s="185">
        <f t="shared" ref="I67:I70" si="38">H67+G67</f>
        <v>10.879999999999999</v>
      </c>
      <c r="J67" s="186">
        <f t="shared" ref="J67:J70" si="39">TRUNC((H67+G67)*F67,2)</f>
        <v>65.28</v>
      </c>
      <c r="K67" s="194"/>
    </row>
    <row r="68" spans="1:12" s="198" customFormat="1">
      <c r="A68" s="180" t="s">
        <v>161</v>
      </c>
      <c r="B68" s="181">
        <v>37</v>
      </c>
      <c r="C68" s="182">
        <f>VLOOKUP($B68,COMPOSIÇÃO!$A$10:$K$369,3,FALSE)</f>
        <v>72259</v>
      </c>
      <c r="D68" s="355" t="str">
        <f>VLOOKUP($B68,COMPOSIÇÃO!$A$10:$K$369,4,FALSE)</f>
        <v>TERMINAL OU CONECTOR DE PRESSAO - PARA CABO 10MM2 - FORNECIMENTO E INSTALACAO</v>
      </c>
      <c r="E68" s="181" t="str">
        <f>VLOOKUP($B68,COMPOSIÇÃO!$A$10:$K$369,5,FALSE)</f>
        <v>UN.</v>
      </c>
      <c r="F68" s="184">
        <v>12</v>
      </c>
      <c r="G68" s="185">
        <f>VLOOKUP($B68,COMPOSIÇÃO!$A$10:$K$228,9,FALSE)</f>
        <v>2.0299999999999998</v>
      </c>
      <c r="H68" s="185">
        <f>VLOOKUP($B68,COMPOSIÇÃO!$A$10:$K$228,10,FALSE)</f>
        <v>10.68</v>
      </c>
      <c r="I68" s="185">
        <f t="shared" si="38"/>
        <v>12.709999999999999</v>
      </c>
      <c r="J68" s="186">
        <f t="shared" si="39"/>
        <v>152.52000000000001</v>
      </c>
      <c r="K68" s="194"/>
    </row>
    <row r="69" spans="1:12" s="198" customFormat="1">
      <c r="A69" s="180" t="s">
        <v>257</v>
      </c>
      <c r="B69" s="181">
        <v>38</v>
      </c>
      <c r="C69" s="182">
        <f>VLOOKUP($B69,COMPOSIÇÃO!$A$10:$K$369,3,FALSE)</f>
        <v>72260</v>
      </c>
      <c r="D69" s="355" t="str">
        <f>VLOOKUP($B69,COMPOSIÇÃO!$A$10:$K$369,4,FALSE)</f>
        <v>TERMINAL OU CONECTOR DE PRESSAO - PARA CABO 16MM2 - FORNECIMENTO E INSTALACAO</v>
      </c>
      <c r="E69" s="181" t="str">
        <f>VLOOKUP($B69,COMPOSIÇÃO!$A$10:$K$369,5,FALSE)</f>
        <v>UN.</v>
      </c>
      <c r="F69" s="184">
        <v>12</v>
      </c>
      <c r="G69" s="185">
        <f>VLOOKUP($B69,COMPOSIÇÃO!$A$10:$K$369,9,FALSE)</f>
        <v>1.99</v>
      </c>
      <c r="H69" s="185">
        <f>VLOOKUP($B69,COMPOSIÇÃO!$A$10:$K$369,10,FALSE)</f>
        <v>10.68</v>
      </c>
      <c r="I69" s="185">
        <f t="shared" si="38"/>
        <v>12.67</v>
      </c>
      <c r="J69" s="186">
        <f t="shared" si="39"/>
        <v>152.04</v>
      </c>
      <c r="K69" s="194"/>
    </row>
    <row r="70" spans="1:12" s="198" customFormat="1" ht="17.45" customHeight="1">
      <c r="A70" s="180" t="s">
        <v>258</v>
      </c>
      <c r="B70" s="181">
        <v>39</v>
      </c>
      <c r="C70" s="182" t="str">
        <f>VLOOKUP($B70,COMPOSIÇÃO!$A$10:$K$369,3,FALSE)</f>
        <v>COMPOSIÇÃO</v>
      </c>
      <c r="D70" s="355" t="str">
        <f>VLOOKUP($B70,COMPOSIÇÃO!$A$10:$K$369,4,FALSE)</f>
        <v>FITA ISOLANTE DE BORRACHA AUTOFUSAO, USO ATE 69 KV (ALTA TENSAO) - FORNECIMENTO E APLICAÇÃO</v>
      </c>
      <c r="E70" s="181" t="str">
        <f>VLOOKUP($B70,COMPOSIÇÃO!$A$10:$K$369,5,FALSE)</f>
        <v>M</v>
      </c>
      <c r="F70" s="184">
        <v>60</v>
      </c>
      <c r="G70" s="185">
        <f>VLOOKUP($B70,COMPOSIÇÃO!$A$10:$K$369,9,FALSE)</f>
        <v>1.82</v>
      </c>
      <c r="H70" s="185">
        <f>VLOOKUP($B70,COMPOSIÇÃO!$A$10:$K$369,10,FALSE)</f>
        <v>2.4400000000000004</v>
      </c>
      <c r="I70" s="185">
        <f t="shared" si="38"/>
        <v>4.2600000000000007</v>
      </c>
      <c r="J70" s="186">
        <f t="shared" si="39"/>
        <v>255.6</v>
      </c>
      <c r="K70" s="194"/>
    </row>
    <row r="71" spans="1:12" s="198" customFormat="1">
      <c r="A71" s="204"/>
      <c r="B71" s="189"/>
      <c r="C71" s="189"/>
      <c r="D71" s="190" t="s">
        <v>11</v>
      </c>
      <c r="E71" s="191"/>
      <c r="F71" s="192"/>
      <c r="G71" s="193"/>
      <c r="H71" s="205"/>
      <c r="I71" s="205"/>
      <c r="J71" s="197">
        <f>SUM(J66:J70)</f>
        <v>1492.83</v>
      </c>
      <c r="K71" s="194">
        <f>J71+J63+J57+J48++J36+J27+J22</f>
        <v>314126.52</v>
      </c>
      <c r="L71" s="198">
        <f>K71/F62</f>
        <v>10831.948965517242</v>
      </c>
    </row>
    <row r="72" spans="1:12" s="198" customFormat="1">
      <c r="A72" s="204"/>
      <c r="B72" s="189"/>
      <c r="C72" s="189"/>
      <c r="D72" s="190"/>
      <c r="E72" s="191"/>
      <c r="F72" s="192"/>
      <c r="G72" s="193"/>
      <c r="H72" s="205"/>
      <c r="I72" s="205"/>
      <c r="J72" s="197"/>
      <c r="K72" s="194">
        <f>K71*0.6</f>
        <v>188475.91200000001</v>
      </c>
    </row>
    <row r="73" spans="1:12" s="198" customFormat="1">
      <c r="A73" s="339"/>
      <c r="B73" s="339"/>
      <c r="C73" s="339"/>
      <c r="D73" s="334" t="s">
        <v>329</v>
      </c>
      <c r="E73" s="339"/>
      <c r="F73" s="339"/>
      <c r="G73" s="339"/>
      <c r="H73" s="339"/>
      <c r="I73" s="339"/>
      <c r="J73" s="339"/>
      <c r="K73" s="309"/>
    </row>
    <row r="74" spans="1:12" s="198" customFormat="1">
      <c r="A74" s="347"/>
      <c r="B74" s="348"/>
      <c r="C74" s="348"/>
      <c r="D74" s="349" t="s">
        <v>333</v>
      </c>
      <c r="E74" s="350"/>
      <c r="F74" s="351"/>
      <c r="G74" s="352"/>
      <c r="H74" s="353"/>
      <c r="I74" s="353"/>
      <c r="J74" s="354"/>
      <c r="K74" s="194"/>
    </row>
    <row r="75" spans="1:12" s="198" customFormat="1">
      <c r="A75" s="173">
        <v>9</v>
      </c>
      <c r="B75" s="174" t="s">
        <v>34</v>
      </c>
      <c r="C75" s="199"/>
      <c r="D75" s="200" t="s">
        <v>349</v>
      </c>
      <c r="E75" s="199"/>
      <c r="F75" s="201"/>
      <c r="G75" s="202"/>
      <c r="H75" s="202"/>
      <c r="I75" s="202"/>
      <c r="J75" s="203"/>
      <c r="K75" s="194"/>
    </row>
    <row r="76" spans="1:12" s="198" customFormat="1" ht="25.5">
      <c r="A76" s="180" t="s">
        <v>273</v>
      </c>
      <c r="B76" s="181">
        <v>40</v>
      </c>
      <c r="C76" s="182" t="str">
        <f>VLOOKUP($B76,COMPOSIÇÃO!$A$10:$K$369,3,FALSE)</f>
        <v xml:space="preserve">COMPOSIÇÃO </v>
      </c>
      <c r="D76" s="355" t="str">
        <f>VLOOKUP($B76,COMPOSIÇÃO!$A$10:$K$369,4,FALSE)</f>
        <v>REMOÇÃO DE LUMINÁRIAS E ACESSÓRIOS EM TOPO DE POSTE DE CONCRETO CIRCULAR DE 15 METROS DE ALTURA COM UTILIZAÇÃO DE EQUIPAMENTO MUNCK COM CESTO AÉREO.</v>
      </c>
      <c r="E76" s="181" t="str">
        <f>VLOOKUP($B76,COMPOSIÇÃO!$A$10:$K$369,5,FALSE)</f>
        <v>H</v>
      </c>
      <c r="F76" s="184">
        <v>360</v>
      </c>
      <c r="G76" s="185">
        <f>VLOOKUP($B76,COMPOSIÇÃO!$A$10:$K$369,9,FALSE)</f>
        <v>102.17</v>
      </c>
      <c r="H76" s="185">
        <f>VLOOKUP($B76,COMPOSIÇÃO!$A$10:$K$369,10,FALSE)</f>
        <v>52.099999999999994</v>
      </c>
      <c r="I76" s="185">
        <f t="shared" ref="I76:I79" si="40">H76+G76</f>
        <v>154.26999999999998</v>
      </c>
      <c r="J76" s="186">
        <f t="shared" ref="J76:J79" si="41">TRUNC((H76+G76)*F76,2)</f>
        <v>55537.2</v>
      </c>
      <c r="K76" s="194"/>
    </row>
    <row r="77" spans="1:12" s="198" customFormat="1" ht="38.25">
      <c r="A77" s="180" t="s">
        <v>274</v>
      </c>
      <c r="B77" s="181">
        <v>41</v>
      </c>
      <c r="C77" s="182" t="str">
        <f>VLOOKUP($B77,COMPOSIÇÃO!$A$10:$K$369,3,FALSE)</f>
        <v>COMPOSIÇÃO REF.: 83394</v>
      </c>
      <c r="D77" s="355" t="str">
        <f>VLOOKUP($B77,COMPOSIÇÃO!$A$10:$K$369,4,FALSE)</f>
        <v>BRAÇO TUBULAR EM AÇO GALVANIZADO A QUENTE COM  4,0m   COMPRIMENTO  x 48mm x 3,00mm +/- 0,5mm DE ESPESSURA, MODELO ASA DE BORBOLETA, CONFORME PLANTA DO PROJETO E ACESSÓRIOS DE FIXAÇÃO - FORNECIMENTO E INSTALACÃO</v>
      </c>
      <c r="E77" s="181" t="str">
        <f>VLOOKUP($B77,COMPOSIÇÃO!$A$10:$K$369,5,FALSE)</f>
        <v>UN</v>
      </c>
      <c r="F77" s="184">
        <v>360</v>
      </c>
      <c r="G77" s="185">
        <f>VLOOKUP($B77,COMPOSIÇÃO!$A$10:$K$369,9,FALSE)</f>
        <v>462.39000000000004</v>
      </c>
      <c r="H77" s="185">
        <f>VLOOKUP($B77,COMPOSIÇÃO!$A$10:$K$369,10,FALSE)</f>
        <v>52.099999999999994</v>
      </c>
      <c r="I77" s="185">
        <f t="shared" si="40"/>
        <v>514.49</v>
      </c>
      <c r="J77" s="186">
        <f t="shared" si="41"/>
        <v>185216.4</v>
      </c>
      <c r="K77" s="194"/>
    </row>
    <row r="78" spans="1:12" s="198" customFormat="1" ht="25.5">
      <c r="A78" s="180" t="s">
        <v>275</v>
      </c>
      <c r="B78" s="181">
        <v>42</v>
      </c>
      <c r="C78" s="182" t="str">
        <f>VLOOKUP($B78,COMPOSIÇÃO!$A$10:$K$369,3,FALSE)</f>
        <v>COMPOSIÇÃO REF: 91929</v>
      </c>
      <c r="D78" s="355" t="str">
        <f>VLOOKUP($B78,COMPOSIÇÃO!$A$10:$K$369,4,FALSE)</f>
        <v xml:space="preserve">CABO DE COBRE FLEXÍVEL MULTIPOLAR COLORIDO 0,6/1KV , TIPO PP, 2X2,5 MM² - FORNECIMENTO E INSTALAÇÃO. </v>
      </c>
      <c r="E78" s="181" t="str">
        <f>VLOOKUP($B78,COMPOSIÇÃO!$A$10:$K$369,5,FALSE)</f>
        <v>M</v>
      </c>
      <c r="F78" s="184">
        <v>2880</v>
      </c>
      <c r="G78" s="185">
        <f>VLOOKUP($B78,COMPOSIÇÃO!$A$10:$K$369,9,FALSE)</f>
        <v>5.66</v>
      </c>
      <c r="H78" s="185">
        <f>VLOOKUP($B78,COMPOSIÇÃO!$A$10:$K$369,10,FALSE)</f>
        <v>1.4100000000000001</v>
      </c>
      <c r="I78" s="185">
        <f t="shared" si="40"/>
        <v>7.07</v>
      </c>
      <c r="J78" s="186">
        <f t="shared" si="41"/>
        <v>20361.599999999999</v>
      </c>
      <c r="K78" s="194"/>
    </row>
    <row r="79" spans="1:12" s="198" customFormat="1" ht="89.25">
      <c r="A79" s="180" t="s">
        <v>276</v>
      </c>
      <c r="B79" s="181">
        <v>43</v>
      </c>
      <c r="C79" s="182" t="str">
        <f>VLOOKUP($B79,COMPOSIÇÃO!$A$10:$K$369,3,FALSE)</f>
        <v xml:space="preserve">COMPOSIÇÃO REF: 74231/001 </v>
      </c>
      <c r="D79" s="355" t="str">
        <f>VLOOKUP($B79,COMPOSIÇÃO!$A$10:$K$369,4,FALSE)</f>
        <v>LUMINARIA DE LED PARA ILUMINACAO PÚBLICA, COM POTÊNCIA DE CONSUMO DE 210W E EFICIÊNCIA 110LM/W, FLUXO TOTAL MÍNIMO 23.100LM,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v>
      </c>
      <c r="E79" s="181" t="str">
        <f>VLOOKUP($B79,COMPOSIÇÃO!$A$10:$K$369,5,FALSE)</f>
        <v>UN</v>
      </c>
      <c r="F79" s="184">
        <v>360</v>
      </c>
      <c r="G79" s="185">
        <f>VLOOKUP($B79,COMPOSIÇÃO!$A$10:$K$369,9,FALSE)</f>
        <v>1877.17</v>
      </c>
      <c r="H79" s="185">
        <f>VLOOKUP($B79,COMPOSIÇÃO!$A$10:$K$369,10,FALSE)</f>
        <v>50.32</v>
      </c>
      <c r="I79" s="185">
        <f t="shared" si="40"/>
        <v>1927.49</v>
      </c>
      <c r="J79" s="186">
        <f t="shared" si="41"/>
        <v>693896.4</v>
      </c>
      <c r="K79" s="194"/>
    </row>
    <row r="80" spans="1:12" s="198" customFormat="1">
      <c r="A80" s="204"/>
      <c r="B80" s="189"/>
      <c r="C80" s="189"/>
      <c r="D80" s="190" t="s">
        <v>11</v>
      </c>
      <c r="E80" s="191"/>
      <c r="F80" s="192"/>
      <c r="G80" s="193"/>
      <c r="H80" s="205"/>
      <c r="I80" s="205"/>
      <c r="J80" s="197">
        <f>SUM(J76:J79)</f>
        <v>955011.6</v>
      </c>
      <c r="K80" s="194">
        <f>J80/F79</f>
        <v>2652.81</v>
      </c>
    </row>
    <row r="81" spans="1:12" s="198" customFormat="1">
      <c r="A81" s="206"/>
      <c r="B81" s="207"/>
      <c r="C81" s="207"/>
      <c r="D81" s="208"/>
      <c r="E81" s="209"/>
      <c r="F81" s="210"/>
      <c r="G81" s="211"/>
      <c r="H81" s="212"/>
      <c r="I81" s="212"/>
      <c r="J81" s="308"/>
      <c r="K81" s="194"/>
    </row>
    <row r="82" spans="1:12" s="198" customFormat="1">
      <c r="A82" s="356"/>
      <c r="B82" s="357"/>
      <c r="C82" s="357"/>
      <c r="D82" s="358" t="s">
        <v>348</v>
      </c>
      <c r="E82" s="359"/>
      <c r="F82" s="360"/>
      <c r="G82" s="361"/>
      <c r="H82" s="362"/>
      <c r="I82" s="362"/>
      <c r="J82" s="363"/>
      <c r="K82" s="194"/>
    </row>
    <row r="83" spans="1:12" s="198" customFormat="1">
      <c r="A83" s="173">
        <v>10</v>
      </c>
      <c r="B83" s="174" t="s">
        <v>34</v>
      </c>
      <c r="C83" s="199"/>
      <c r="D83" s="200" t="s">
        <v>349</v>
      </c>
      <c r="E83" s="199"/>
      <c r="F83" s="201"/>
      <c r="G83" s="202"/>
      <c r="H83" s="202"/>
      <c r="I83" s="202"/>
      <c r="J83" s="203"/>
      <c r="K83" s="194"/>
    </row>
    <row r="84" spans="1:12" s="198" customFormat="1" ht="25.5">
      <c r="A84" s="180" t="s">
        <v>287</v>
      </c>
      <c r="B84" s="181">
        <v>40</v>
      </c>
      <c r="C84" s="182" t="str">
        <f>VLOOKUP($B84,COMPOSIÇÃO!$A$10:$K$369,3,FALSE)</f>
        <v xml:space="preserve">COMPOSIÇÃO </v>
      </c>
      <c r="D84" s="355" t="str">
        <f>VLOOKUP($B84,COMPOSIÇÃO!$A$10:$K$369,4,FALSE)</f>
        <v>REMOÇÃO DE LUMINÁRIAS E ACESSÓRIOS EM TOPO DE POSTE DE CONCRETO CIRCULAR DE 15 METROS DE ALTURA COM UTILIZAÇÃO DE EQUIPAMENTO MUNCK COM CESTO AÉREO.</v>
      </c>
      <c r="E84" s="181" t="str">
        <f>VLOOKUP($B84,COMPOSIÇÃO!$A$10:$K$369,5,FALSE)</f>
        <v>H</v>
      </c>
      <c r="F84" s="184">
        <v>258</v>
      </c>
      <c r="G84" s="185">
        <f>VLOOKUP($B84,COMPOSIÇÃO!$A$10:$K$369,9,FALSE)</f>
        <v>102.17</v>
      </c>
      <c r="H84" s="185">
        <f>VLOOKUP($B84,COMPOSIÇÃO!$A$10:$K$369,10,FALSE)</f>
        <v>52.099999999999994</v>
      </c>
      <c r="I84" s="185">
        <f t="shared" ref="I84:I87" si="42">H84+G84</f>
        <v>154.26999999999998</v>
      </c>
      <c r="J84" s="186">
        <f t="shared" ref="J84:J87" si="43">TRUNC((H84+G84)*F84,2)</f>
        <v>39801.660000000003</v>
      </c>
      <c r="K84" s="194"/>
    </row>
    <row r="85" spans="1:12" s="198" customFormat="1" ht="38.25">
      <c r="A85" s="180" t="s">
        <v>288</v>
      </c>
      <c r="B85" s="181">
        <v>41</v>
      </c>
      <c r="C85" s="182" t="str">
        <f>VLOOKUP($B85,COMPOSIÇÃO!$A$10:$K$369,3,FALSE)</f>
        <v>COMPOSIÇÃO REF.: 83394</v>
      </c>
      <c r="D85" s="355" t="str">
        <f>VLOOKUP($B85,COMPOSIÇÃO!$A$10:$K$369,4,FALSE)</f>
        <v>BRAÇO TUBULAR EM AÇO GALVANIZADO A QUENTE COM  4,0m   COMPRIMENTO  x 48mm x 3,00mm +/- 0,5mm DE ESPESSURA, MODELO ASA DE BORBOLETA, CONFORME PLANTA DO PROJETO E ACESSÓRIOS DE FIXAÇÃO - FORNECIMENTO E INSTALACÃO</v>
      </c>
      <c r="E85" s="181" t="str">
        <f>VLOOKUP($B85,COMPOSIÇÃO!$A$10:$K$369,5,FALSE)</f>
        <v>UN</v>
      </c>
      <c r="F85" s="184">
        <v>258</v>
      </c>
      <c r="G85" s="185">
        <f>VLOOKUP($B85,COMPOSIÇÃO!$A$10:$K$369,9,FALSE)</f>
        <v>462.39000000000004</v>
      </c>
      <c r="H85" s="185">
        <f>VLOOKUP($B85,COMPOSIÇÃO!$A$10:$K$369,10,FALSE)</f>
        <v>52.099999999999994</v>
      </c>
      <c r="I85" s="185">
        <f t="shared" si="42"/>
        <v>514.49</v>
      </c>
      <c r="J85" s="186">
        <f t="shared" si="43"/>
        <v>132738.42000000001</v>
      </c>
      <c r="K85" s="194"/>
    </row>
    <row r="86" spans="1:12" s="198" customFormat="1" ht="25.5">
      <c r="A86" s="180" t="s">
        <v>289</v>
      </c>
      <c r="B86" s="181">
        <v>42</v>
      </c>
      <c r="C86" s="182" t="str">
        <f>VLOOKUP($B86,COMPOSIÇÃO!$A$10:$K$369,3,FALSE)</f>
        <v>COMPOSIÇÃO REF: 91929</v>
      </c>
      <c r="D86" s="355" t="str">
        <f>VLOOKUP($B86,COMPOSIÇÃO!$A$10:$K$369,4,FALSE)</f>
        <v xml:space="preserve">CABO DE COBRE FLEXÍVEL MULTIPOLAR COLORIDO 0,6/1KV , TIPO PP, 2X2,5 MM² - FORNECIMENTO E INSTALAÇÃO. </v>
      </c>
      <c r="E86" s="181" t="str">
        <f>VLOOKUP($B86,COMPOSIÇÃO!$A$10:$K$369,5,FALSE)</f>
        <v>M</v>
      </c>
      <c r="F86" s="184">
        <v>2064</v>
      </c>
      <c r="G86" s="185">
        <f>VLOOKUP($B86,COMPOSIÇÃO!$A$10:$K$369,9,FALSE)</f>
        <v>5.66</v>
      </c>
      <c r="H86" s="185">
        <f>VLOOKUP($B86,COMPOSIÇÃO!$A$10:$K$369,10,FALSE)</f>
        <v>1.4100000000000001</v>
      </c>
      <c r="I86" s="185">
        <f t="shared" si="42"/>
        <v>7.07</v>
      </c>
      <c r="J86" s="186">
        <f t="shared" si="43"/>
        <v>14592.48</v>
      </c>
      <c r="K86" s="194"/>
    </row>
    <row r="87" spans="1:12" s="198" customFormat="1" ht="89.25">
      <c r="A87" s="180" t="s">
        <v>290</v>
      </c>
      <c r="B87" s="181">
        <v>43</v>
      </c>
      <c r="C87" s="182" t="str">
        <f>VLOOKUP($B87,COMPOSIÇÃO!$A$10:$K$369,3,FALSE)</f>
        <v xml:space="preserve">COMPOSIÇÃO REF: 74231/001 </v>
      </c>
      <c r="D87" s="355" t="str">
        <f>VLOOKUP($B87,COMPOSIÇÃO!$A$10:$K$369,4,FALSE)</f>
        <v>LUMINARIA DE LED PARA ILUMINACAO PÚBLICA, COM POTÊNCIA DE CONSUMO DE 210W E EFICIÊNCIA 110LM/W, FLUXO TOTAL MÍNIMO 23.100LM,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v>
      </c>
      <c r="E87" s="181" t="str">
        <f>VLOOKUP($B87,COMPOSIÇÃO!$A$10:$K$369,5,FALSE)</f>
        <v>UN</v>
      </c>
      <c r="F87" s="184">
        <v>258</v>
      </c>
      <c r="G87" s="185">
        <f>VLOOKUP($B87,COMPOSIÇÃO!$A$10:$K$369,9,FALSE)</f>
        <v>1877.17</v>
      </c>
      <c r="H87" s="185">
        <f>VLOOKUP($B87,COMPOSIÇÃO!$A$10:$K$369,10,FALSE)</f>
        <v>50.32</v>
      </c>
      <c r="I87" s="185">
        <f t="shared" si="42"/>
        <v>1927.49</v>
      </c>
      <c r="J87" s="186">
        <f t="shared" si="43"/>
        <v>497292.42</v>
      </c>
      <c r="K87" s="194"/>
    </row>
    <row r="88" spans="1:12" s="198" customFormat="1">
      <c r="A88" s="204"/>
      <c r="B88" s="189"/>
      <c r="C88" s="189"/>
      <c r="D88" s="190" t="s">
        <v>11</v>
      </c>
      <c r="E88" s="191"/>
      <c r="F88" s="192"/>
      <c r="G88" s="193"/>
      <c r="H88" s="205"/>
      <c r="I88" s="205"/>
      <c r="J88" s="197">
        <f>SUM(J84:J87)</f>
        <v>684424.98</v>
      </c>
      <c r="K88" s="194">
        <f>J88/F87</f>
        <v>2652.81</v>
      </c>
    </row>
    <row r="89" spans="1:12" s="198" customFormat="1">
      <c r="A89" s="215"/>
      <c r="B89" s="216" t="s">
        <v>356</v>
      </c>
      <c r="C89" s="217"/>
      <c r="D89" s="382" t="s">
        <v>74</v>
      </c>
      <c r="E89" s="382"/>
      <c r="F89" s="382"/>
      <c r="G89" s="218"/>
      <c r="H89" s="218"/>
      <c r="I89" s="218"/>
      <c r="J89" s="219">
        <f>TRUNC((J15+J22+J27+J36+J48+J57+J63+J71+J80+J88),2)</f>
        <v>1960983.08</v>
      </c>
      <c r="K89" s="194"/>
    </row>
    <row r="90" spans="1:12">
      <c r="A90" s="215"/>
      <c r="B90" s="216" t="s">
        <v>357</v>
      </c>
      <c r="C90" s="217"/>
      <c r="D90" s="382" t="s">
        <v>311</v>
      </c>
      <c r="E90" s="382"/>
      <c r="F90" s="382"/>
      <c r="G90" s="220"/>
      <c r="H90" s="221">
        <f>BDI!E20</f>
        <v>0.25</v>
      </c>
      <c r="I90" s="221"/>
      <c r="J90" s="222">
        <f>J89*H90</f>
        <v>490245.77</v>
      </c>
      <c r="K90" s="194"/>
    </row>
    <row r="91" spans="1:12" ht="14.25">
      <c r="A91" s="223"/>
      <c r="B91" s="224" t="s">
        <v>358</v>
      </c>
      <c r="C91" s="225"/>
      <c r="D91" s="372" t="s">
        <v>75</v>
      </c>
      <c r="E91" s="372"/>
      <c r="F91" s="372"/>
      <c r="G91" s="225"/>
      <c r="H91" s="226"/>
      <c r="I91" s="226"/>
      <c r="J91" s="227">
        <f>TRUNC((J90+J89),2)</f>
        <v>2451228.85</v>
      </c>
      <c r="K91" s="194">
        <v>2205473.87</v>
      </c>
      <c r="L91" s="196">
        <f>J91-K91</f>
        <v>245754.97999999998</v>
      </c>
    </row>
    <row r="92" spans="1:12">
      <c r="K92" s="194"/>
    </row>
    <row r="93" spans="1:12">
      <c r="K93" s="194"/>
    </row>
    <row r="94" spans="1:12">
      <c r="K94" s="194">
        <f>K91/J91</f>
        <v>0.89974213138034831</v>
      </c>
    </row>
    <row r="95" spans="1:12">
      <c r="K95" s="194"/>
    </row>
    <row r="96" spans="1:12">
      <c r="K96" s="194"/>
    </row>
    <row r="97" spans="11:11">
      <c r="K97" s="194"/>
    </row>
    <row r="98" spans="11:11">
      <c r="K98" s="194"/>
    </row>
    <row r="99" spans="11:11">
      <c r="K99" s="194"/>
    </row>
    <row r="100" spans="11:11">
      <c r="K100" s="194"/>
    </row>
    <row r="101" spans="11:11">
      <c r="K101" s="194"/>
    </row>
    <row r="102" spans="11:11">
      <c r="K102" s="194"/>
    </row>
    <row r="103" spans="11:11">
      <c r="K103" s="194"/>
    </row>
    <row r="104" spans="11:11">
      <c r="K104" s="194"/>
    </row>
    <row r="105" spans="11:11">
      <c r="K105" s="194"/>
    </row>
    <row r="106" spans="11:11">
      <c r="K106" s="194"/>
    </row>
    <row r="107" spans="11:11">
      <c r="K107" s="194"/>
    </row>
    <row r="108" spans="11:11">
      <c r="K108" s="194"/>
    </row>
    <row r="109" spans="11:11">
      <c r="K109" s="194"/>
    </row>
    <row r="110" spans="11:11">
      <c r="K110" s="194"/>
    </row>
    <row r="111" spans="11:11">
      <c r="K111" s="194"/>
    </row>
    <row r="112" spans="11:11">
      <c r="K112" s="194"/>
    </row>
    <row r="113" spans="11:11">
      <c r="K113" s="194"/>
    </row>
    <row r="114" spans="11:11">
      <c r="K114" s="194"/>
    </row>
    <row r="115" spans="11:11">
      <c r="K115" s="194"/>
    </row>
    <row r="116" spans="11:11">
      <c r="K116" s="194"/>
    </row>
    <row r="117" spans="11:11">
      <c r="K117" s="194"/>
    </row>
    <row r="118" spans="11:11">
      <c r="K118" s="194"/>
    </row>
    <row r="119" spans="11:11">
      <c r="K119" s="194"/>
    </row>
  </sheetData>
  <mergeCells count="6">
    <mergeCell ref="D91:F91"/>
    <mergeCell ref="B1:J1"/>
    <mergeCell ref="G7:I7"/>
    <mergeCell ref="A7:F7"/>
    <mergeCell ref="D89:F89"/>
    <mergeCell ref="D90:F90"/>
  </mergeCells>
  <printOptions horizontalCentered="1" gridLines="1"/>
  <pageMargins left="0.98425196850393704" right="1.7716535433070868" top="0.98425196850393704" bottom="0.78740157480314965" header="0.31496062992125984" footer="0.31496062992125984"/>
  <pageSetup paperSize="9" scale="63" fitToWidth="0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0"/>
  <sheetViews>
    <sheetView topLeftCell="A256" zoomScaleNormal="100" workbookViewId="0">
      <selection activeCell="C286" sqref="C286"/>
    </sheetView>
  </sheetViews>
  <sheetFormatPr defaultColWidth="9.140625" defaultRowHeight="12.75" outlineLevelRow="2"/>
  <cols>
    <col min="1" max="1" width="6.28515625" style="109" customWidth="1"/>
    <col min="2" max="2" width="14.42578125" style="61" customWidth="1"/>
    <col min="3" max="3" width="13.85546875" style="110" customWidth="1"/>
    <col min="4" max="4" width="67.7109375" style="151" customWidth="1"/>
    <col min="5" max="5" width="8.7109375" style="61" customWidth="1"/>
    <col min="6" max="6" width="8.85546875" style="111" customWidth="1"/>
    <col min="7" max="7" width="10.42578125" style="93" bestFit="1" customWidth="1"/>
    <col min="8" max="8" width="7.28515625" style="112" hidden="1" customWidth="1"/>
    <col min="9" max="9" width="9.85546875" style="112" customWidth="1"/>
    <col min="10" max="10" width="12.7109375" style="113" customWidth="1"/>
    <col min="11" max="11" width="9.5703125" style="113" customWidth="1"/>
    <col min="12" max="12" width="14.7109375" style="61" customWidth="1"/>
    <col min="13" max="13" width="12.7109375" style="61" bestFit="1" customWidth="1"/>
    <col min="14" max="14" width="10.42578125" style="61" bestFit="1" customWidth="1"/>
    <col min="15" max="16384" width="9.140625" style="61"/>
  </cols>
  <sheetData>
    <row r="1" spans="1:12">
      <c r="A1" s="53"/>
      <c r="B1" s="54"/>
      <c r="C1" s="55"/>
      <c r="D1" s="145"/>
      <c r="E1" s="54"/>
      <c r="F1" s="56"/>
      <c r="G1" s="57"/>
      <c r="H1" s="58"/>
      <c r="I1" s="58"/>
      <c r="J1" s="59"/>
      <c r="K1" s="60"/>
    </row>
    <row r="2" spans="1:12" ht="17.25" customHeight="1">
      <c r="A2" s="62" t="s">
        <v>319</v>
      </c>
      <c r="B2" s="63"/>
      <c r="C2" s="64"/>
      <c r="D2" s="146"/>
      <c r="E2" s="64"/>
      <c r="F2" s="65"/>
      <c r="G2" s="66"/>
      <c r="H2" s="67"/>
      <c r="I2" s="67"/>
      <c r="J2" s="64"/>
      <c r="K2" s="68"/>
    </row>
    <row r="3" spans="1:12" ht="21" customHeight="1">
      <c r="A3" s="62" t="s">
        <v>320</v>
      </c>
      <c r="B3" s="2"/>
      <c r="C3" s="2"/>
      <c r="D3" s="147"/>
      <c r="E3" s="2"/>
      <c r="F3" s="69"/>
      <c r="G3" s="70"/>
      <c r="H3" s="71"/>
      <c r="I3" s="71"/>
      <c r="J3" s="2"/>
      <c r="K3" s="72"/>
    </row>
    <row r="4" spans="1:12" ht="15.75" customHeight="1">
      <c r="A4" s="73" t="s">
        <v>321</v>
      </c>
      <c r="B4" s="63"/>
      <c r="C4" s="2"/>
      <c r="D4" s="147"/>
      <c r="E4" s="2"/>
      <c r="F4" s="69"/>
      <c r="G4" s="70"/>
      <c r="H4" s="71"/>
      <c r="I4" s="71"/>
      <c r="J4" s="2"/>
      <c r="K4" s="72"/>
    </row>
    <row r="5" spans="1:12" ht="6.6" customHeight="1">
      <c r="A5" s="74"/>
      <c r="B5" s="63"/>
      <c r="C5" s="2"/>
      <c r="D5" s="147"/>
      <c r="E5" s="75"/>
      <c r="F5" s="76"/>
      <c r="G5" s="77"/>
      <c r="H5" s="78"/>
      <c r="I5" s="78"/>
      <c r="J5" s="79"/>
      <c r="K5" s="80"/>
    </row>
    <row r="6" spans="1:12" ht="16.899999999999999" customHeight="1">
      <c r="A6" s="386" t="s">
        <v>84</v>
      </c>
      <c r="B6" s="387"/>
      <c r="C6" s="387"/>
      <c r="D6" s="387"/>
      <c r="E6" s="387"/>
      <c r="F6" s="387"/>
      <c r="G6" s="387"/>
      <c r="H6" s="387"/>
      <c r="I6" s="387"/>
      <c r="J6" s="387"/>
      <c r="K6" s="388"/>
    </row>
    <row r="7" spans="1:12" ht="13.5" thickBot="1">
      <c r="A7" s="81"/>
      <c r="B7" s="82"/>
      <c r="C7" s="83"/>
      <c r="D7" s="148"/>
      <c r="E7" s="401" t="s">
        <v>292</v>
      </c>
      <c r="F7" s="401"/>
      <c r="G7" s="401"/>
      <c r="H7" s="401"/>
      <c r="I7" s="401"/>
      <c r="J7" s="401"/>
      <c r="K7" s="402"/>
    </row>
    <row r="8" spans="1:12">
      <c r="A8" s="389" t="s">
        <v>5</v>
      </c>
      <c r="B8" s="389" t="s">
        <v>76</v>
      </c>
      <c r="C8" s="397" t="s">
        <v>77</v>
      </c>
      <c r="D8" s="389" t="s">
        <v>78</v>
      </c>
      <c r="E8" s="389" t="s">
        <v>79</v>
      </c>
      <c r="F8" s="399" t="s">
        <v>80</v>
      </c>
      <c r="G8" s="393" t="s">
        <v>239</v>
      </c>
      <c r="H8" s="391" t="s">
        <v>81</v>
      </c>
      <c r="I8" s="391" t="s">
        <v>82</v>
      </c>
      <c r="J8" s="393" t="s">
        <v>83</v>
      </c>
      <c r="K8" s="395" t="s">
        <v>8</v>
      </c>
    </row>
    <row r="9" spans="1:12">
      <c r="A9" s="390"/>
      <c r="B9" s="390"/>
      <c r="C9" s="398"/>
      <c r="D9" s="390"/>
      <c r="E9" s="390"/>
      <c r="F9" s="400"/>
      <c r="G9" s="394"/>
      <c r="H9" s="392"/>
      <c r="I9" s="392"/>
      <c r="J9" s="394"/>
      <c r="K9" s="396"/>
    </row>
    <row r="10" spans="1:12">
      <c r="A10" s="84">
        <v>1</v>
      </c>
      <c r="B10" s="85" t="s">
        <v>139</v>
      </c>
      <c r="C10" s="86" t="s">
        <v>29</v>
      </c>
      <c r="D10" s="142" t="s">
        <v>33</v>
      </c>
      <c r="E10" s="85" t="s">
        <v>19</v>
      </c>
      <c r="F10" s="87" t="s">
        <v>20</v>
      </c>
      <c r="G10" s="88"/>
      <c r="H10" s="89"/>
      <c r="I10" s="89">
        <f>SUM(I11)</f>
        <v>0</v>
      </c>
      <c r="J10" s="90">
        <f>SUM(J11)</f>
        <v>214.82</v>
      </c>
      <c r="K10" s="90">
        <f>TRUNC((J10+I10),2)</f>
        <v>214.82</v>
      </c>
    </row>
    <row r="11" spans="1:12" ht="25.5" outlineLevel="1">
      <c r="A11" s="91"/>
      <c r="B11" s="85" t="s">
        <v>291</v>
      </c>
      <c r="C11" s="86" t="s">
        <v>29</v>
      </c>
      <c r="D11" s="142" t="s">
        <v>67</v>
      </c>
      <c r="E11" s="122" t="s">
        <v>19</v>
      </c>
      <c r="F11" s="87">
        <v>1</v>
      </c>
      <c r="G11" s="88">
        <v>214.82</v>
      </c>
      <c r="H11" s="89"/>
      <c r="I11" s="89">
        <v>0</v>
      </c>
      <c r="J11" s="90">
        <f>TRUNC((G11*F11),2)</f>
        <v>214.82</v>
      </c>
      <c r="K11" s="90"/>
    </row>
    <row r="12" spans="1:12" outlineLevel="1">
      <c r="A12" s="307"/>
      <c r="B12" s="96"/>
      <c r="C12" s="97"/>
      <c r="D12" s="149"/>
      <c r="E12" s="96"/>
      <c r="F12" s="98"/>
      <c r="G12" s="99"/>
      <c r="H12" s="100"/>
      <c r="I12" s="100"/>
      <c r="J12" s="101"/>
      <c r="K12" s="101"/>
    </row>
    <row r="13" spans="1:12" ht="25.5">
      <c r="A13" s="84">
        <v>3</v>
      </c>
      <c r="B13" s="85" t="s">
        <v>18</v>
      </c>
      <c r="C13" s="86" t="s">
        <v>178</v>
      </c>
      <c r="D13" s="142" t="s">
        <v>28</v>
      </c>
      <c r="E13" s="85" t="s">
        <v>19</v>
      </c>
      <c r="F13" s="87"/>
      <c r="G13" s="88"/>
      <c r="H13" s="89"/>
      <c r="I13" s="89">
        <f>SUM(I14:I16)</f>
        <v>112.86</v>
      </c>
      <c r="J13" s="90">
        <f>SUM(J14:J16)</f>
        <v>145.26</v>
      </c>
      <c r="K13" s="90">
        <f>TRUNC((J13+I13),2)</f>
        <v>258.12</v>
      </c>
    </row>
    <row r="14" spans="1:12" ht="51" outlineLevel="1">
      <c r="A14" s="92"/>
      <c r="B14" s="85" t="s">
        <v>21</v>
      </c>
      <c r="C14" s="86">
        <v>93402</v>
      </c>
      <c r="D14" s="143" t="s">
        <v>180</v>
      </c>
      <c r="E14" s="85" t="s">
        <v>22</v>
      </c>
      <c r="F14" s="87">
        <v>1</v>
      </c>
      <c r="G14" s="88">
        <v>112.86</v>
      </c>
      <c r="H14" s="89"/>
      <c r="I14" s="89">
        <f>TRUNC((G14*F14),2)</f>
        <v>112.86</v>
      </c>
      <c r="J14" s="90">
        <f>TRUNC((G14*F14),2)</f>
        <v>112.86</v>
      </c>
      <c r="K14" s="90"/>
      <c r="L14" s="113"/>
    </row>
    <row r="15" spans="1:12" outlineLevel="1">
      <c r="A15" s="92"/>
      <c r="B15" s="85" t="s">
        <v>21</v>
      </c>
      <c r="C15" s="86">
        <v>88247</v>
      </c>
      <c r="D15" s="142" t="s">
        <v>24</v>
      </c>
      <c r="E15" s="85" t="s">
        <v>17</v>
      </c>
      <c r="F15" s="87">
        <v>1</v>
      </c>
      <c r="G15" s="88">
        <v>15.92</v>
      </c>
      <c r="H15" s="89"/>
      <c r="I15" s="89">
        <v>0</v>
      </c>
      <c r="J15" s="90">
        <f>TRUNC((G15*F15),2)</f>
        <v>15.92</v>
      </c>
      <c r="K15" s="90"/>
    </row>
    <row r="16" spans="1:12" outlineLevel="1">
      <c r="A16" s="94"/>
      <c r="B16" s="85" t="s">
        <v>21</v>
      </c>
      <c r="C16" s="86">
        <v>88286</v>
      </c>
      <c r="D16" s="142" t="s">
        <v>68</v>
      </c>
      <c r="E16" s="85" t="s">
        <v>17</v>
      </c>
      <c r="F16" s="87">
        <v>1</v>
      </c>
      <c r="G16" s="88">
        <v>16.48</v>
      </c>
      <c r="H16" s="89"/>
      <c r="I16" s="89">
        <v>0</v>
      </c>
      <c r="J16" s="90">
        <f>TRUNC((G16*F16),2)</f>
        <v>16.48</v>
      </c>
      <c r="K16" s="90"/>
    </row>
    <row r="17" spans="1:11" outlineLevel="1">
      <c r="A17" s="95"/>
      <c r="B17" s="96"/>
      <c r="C17" s="97"/>
      <c r="D17" s="149"/>
      <c r="E17" s="96"/>
      <c r="F17" s="98"/>
      <c r="G17" s="99"/>
      <c r="H17" s="100"/>
      <c r="I17" s="100"/>
      <c r="J17" s="101"/>
      <c r="K17" s="101"/>
    </row>
    <row r="18" spans="1:11" outlineLevel="1">
      <c r="A18" s="84">
        <v>4</v>
      </c>
      <c r="B18" s="85" t="s">
        <v>104</v>
      </c>
      <c r="C18" s="85" t="s">
        <v>179</v>
      </c>
      <c r="D18" s="142" t="s">
        <v>105</v>
      </c>
      <c r="E18" s="85" t="s">
        <v>103</v>
      </c>
      <c r="F18" s="87" t="s">
        <v>20</v>
      </c>
      <c r="G18" s="88"/>
      <c r="H18" s="89"/>
      <c r="I18" s="89">
        <f>SUM(I19:I25)</f>
        <v>223.21</v>
      </c>
      <c r="J18" s="90">
        <f>SUM(J19:J25)</f>
        <v>49.53</v>
      </c>
      <c r="K18" s="90">
        <f>TRUNC((J18+I18),2)</f>
        <v>272.74</v>
      </c>
    </row>
    <row r="19" spans="1:11" outlineLevel="1">
      <c r="A19" s="95"/>
      <c r="B19" s="85" t="s">
        <v>21</v>
      </c>
      <c r="C19" s="85" t="s">
        <v>96</v>
      </c>
      <c r="D19" s="142" t="s">
        <v>97</v>
      </c>
      <c r="E19" s="85" t="s">
        <v>17</v>
      </c>
      <c r="F19" s="87">
        <v>1</v>
      </c>
      <c r="G19" s="88">
        <v>18.91</v>
      </c>
      <c r="H19" s="89"/>
      <c r="I19" s="89">
        <v>0</v>
      </c>
      <c r="J19" s="90">
        <f t="shared" ref="J19:J20" si="0">TRUNC((G19*F19),2)</f>
        <v>18.91</v>
      </c>
      <c r="K19" s="90"/>
    </row>
    <row r="20" spans="1:11" outlineLevel="1">
      <c r="A20" s="95"/>
      <c r="B20" s="85" t="s">
        <v>21</v>
      </c>
      <c r="C20" s="85" t="s">
        <v>66</v>
      </c>
      <c r="D20" s="142" t="s">
        <v>23</v>
      </c>
      <c r="E20" s="85" t="s">
        <v>17</v>
      </c>
      <c r="F20" s="87">
        <v>2</v>
      </c>
      <c r="G20" s="88">
        <v>15.31</v>
      </c>
      <c r="H20" s="89"/>
      <c r="I20" s="89">
        <v>0</v>
      </c>
      <c r="J20" s="90">
        <f t="shared" si="0"/>
        <v>30.62</v>
      </c>
      <c r="K20" s="90"/>
    </row>
    <row r="21" spans="1:11" ht="26.45" customHeight="1" outlineLevel="1">
      <c r="A21" s="95"/>
      <c r="B21" s="85" t="s">
        <v>21</v>
      </c>
      <c r="C21" s="85" t="s">
        <v>106</v>
      </c>
      <c r="D21" s="142" t="s">
        <v>107</v>
      </c>
      <c r="E21" s="85" t="s">
        <v>92</v>
      </c>
      <c r="F21" s="87">
        <v>1.0200000000000001E-2</v>
      </c>
      <c r="G21" s="88">
        <v>239.79</v>
      </c>
      <c r="H21" s="102"/>
      <c r="I21" s="89">
        <f t="shared" ref="I21:I25" si="1">TRUNC((G21*F21),2)</f>
        <v>2.44</v>
      </c>
      <c r="J21" s="103">
        <v>0</v>
      </c>
      <c r="K21" s="103"/>
    </row>
    <row r="22" spans="1:11" ht="25.5" outlineLevel="1">
      <c r="A22" s="95"/>
      <c r="B22" s="85" t="s">
        <v>26</v>
      </c>
      <c r="C22" s="85" t="s">
        <v>108</v>
      </c>
      <c r="D22" s="142" t="s">
        <v>109</v>
      </c>
      <c r="E22" s="85" t="s">
        <v>1</v>
      </c>
      <c r="F22" s="87">
        <v>1</v>
      </c>
      <c r="G22" s="88">
        <v>2.63</v>
      </c>
      <c r="H22" s="102"/>
      <c r="I22" s="89">
        <f t="shared" si="1"/>
        <v>2.63</v>
      </c>
      <c r="J22" s="103">
        <v>0</v>
      </c>
      <c r="K22" s="103"/>
    </row>
    <row r="23" spans="1:11" ht="25.5" outlineLevel="1">
      <c r="A23" s="95"/>
      <c r="B23" s="85" t="s">
        <v>26</v>
      </c>
      <c r="C23" s="85" t="s">
        <v>110</v>
      </c>
      <c r="D23" s="142" t="s">
        <v>111</v>
      </c>
      <c r="E23" s="85" t="s">
        <v>1</v>
      </c>
      <c r="F23" s="87">
        <v>4</v>
      </c>
      <c r="G23" s="88">
        <v>4.32</v>
      </c>
      <c r="H23" s="102"/>
      <c r="I23" s="89">
        <f t="shared" si="1"/>
        <v>17.28</v>
      </c>
      <c r="J23" s="103">
        <v>0</v>
      </c>
      <c r="K23" s="103"/>
    </row>
    <row r="24" spans="1:11" ht="25.5" outlineLevel="1">
      <c r="A24" s="95"/>
      <c r="B24" s="85" t="s">
        <v>26</v>
      </c>
      <c r="C24" s="85" t="s">
        <v>112</v>
      </c>
      <c r="D24" s="142" t="s">
        <v>113</v>
      </c>
      <c r="E24" s="85" t="s">
        <v>103</v>
      </c>
      <c r="F24" s="87">
        <v>1</v>
      </c>
      <c r="G24" s="88">
        <v>200</v>
      </c>
      <c r="H24" s="102"/>
      <c r="I24" s="89">
        <f t="shared" si="1"/>
        <v>200</v>
      </c>
      <c r="J24" s="103">
        <v>0</v>
      </c>
      <c r="K24" s="103"/>
    </row>
    <row r="25" spans="1:11" outlineLevel="1">
      <c r="A25" s="95"/>
      <c r="B25" s="85" t="s">
        <v>26</v>
      </c>
      <c r="C25" s="85" t="s">
        <v>114</v>
      </c>
      <c r="D25" s="142" t="s">
        <v>115</v>
      </c>
      <c r="E25" s="85" t="s">
        <v>102</v>
      </c>
      <c r="F25" s="87">
        <v>0.105</v>
      </c>
      <c r="G25" s="88">
        <v>8.2799999999999994</v>
      </c>
      <c r="H25" s="102"/>
      <c r="I25" s="89">
        <f t="shared" si="1"/>
        <v>0.86</v>
      </c>
      <c r="J25" s="103">
        <v>0</v>
      </c>
      <c r="K25" s="103"/>
    </row>
    <row r="26" spans="1:11" outlineLevel="1">
      <c r="A26" s="95"/>
      <c r="B26" s="96"/>
      <c r="C26" s="97"/>
      <c r="D26" s="149"/>
      <c r="E26" s="96"/>
      <c r="F26" s="98"/>
      <c r="G26" s="99"/>
      <c r="H26" s="100"/>
      <c r="I26" s="100"/>
      <c r="J26" s="101"/>
      <c r="K26" s="101"/>
    </row>
    <row r="27" spans="1:11" ht="51" outlineLevel="1">
      <c r="A27" s="84">
        <v>5</v>
      </c>
      <c r="B27" s="310" t="s">
        <v>265</v>
      </c>
      <c r="C27" s="311" t="s">
        <v>314</v>
      </c>
      <c r="D27" s="312" t="s">
        <v>267</v>
      </c>
      <c r="E27" s="310" t="s">
        <v>268</v>
      </c>
      <c r="F27" s="313" t="s">
        <v>20</v>
      </c>
      <c r="G27" s="304"/>
      <c r="H27" s="304"/>
      <c r="I27" s="103">
        <f>SUM(I28:I30)</f>
        <v>634.29999999999995</v>
      </c>
      <c r="J27" s="103">
        <f>SUM(J28:J30)</f>
        <v>35.700000000000003</v>
      </c>
      <c r="K27" s="103">
        <f>J27+I27</f>
        <v>670</v>
      </c>
    </row>
    <row r="28" spans="1:11" ht="38.25" outlineLevel="1">
      <c r="A28" s="305"/>
      <c r="B28" s="314" t="s">
        <v>21</v>
      </c>
      <c r="C28" s="133" t="s">
        <v>266</v>
      </c>
      <c r="D28" s="299" t="s">
        <v>269</v>
      </c>
      <c r="E28" s="122" t="s">
        <v>268</v>
      </c>
      <c r="F28" s="300">
        <v>1</v>
      </c>
      <c r="G28" s="103">
        <v>402.34</v>
      </c>
      <c r="H28" s="103"/>
      <c r="I28" s="89">
        <f t="shared" ref="I28:I29" si="2">TRUNC((G28*F28),2)</f>
        <v>402.34</v>
      </c>
      <c r="J28" s="90">
        <v>0</v>
      </c>
      <c r="K28" s="103"/>
    </row>
    <row r="29" spans="1:11" ht="38.25" outlineLevel="1">
      <c r="A29" s="92"/>
      <c r="B29" s="314" t="s">
        <v>21</v>
      </c>
      <c r="C29" s="133">
        <v>5824</v>
      </c>
      <c r="D29" s="299" t="s">
        <v>226</v>
      </c>
      <c r="E29" s="122" t="s">
        <v>22</v>
      </c>
      <c r="F29" s="300">
        <f>6.5/3</f>
        <v>2.1666666666666665</v>
      </c>
      <c r="G29" s="103">
        <v>107.06</v>
      </c>
      <c r="H29" s="103"/>
      <c r="I29" s="89">
        <f t="shared" si="2"/>
        <v>231.96</v>
      </c>
      <c r="J29" s="90">
        <v>0</v>
      </c>
      <c r="K29" s="103"/>
    </row>
    <row r="30" spans="1:11" outlineLevel="1">
      <c r="A30" s="94"/>
      <c r="B30" s="314" t="s">
        <v>21</v>
      </c>
      <c r="C30" s="133">
        <v>88282</v>
      </c>
      <c r="D30" s="299" t="s">
        <v>270</v>
      </c>
      <c r="E30" s="122" t="s">
        <v>17</v>
      </c>
      <c r="F30" s="300">
        <f>6.5/3</f>
        <v>2.1666666666666665</v>
      </c>
      <c r="G30" s="103">
        <v>16.48</v>
      </c>
      <c r="H30" s="103"/>
      <c r="I30" s="103">
        <v>0</v>
      </c>
      <c r="J30" s="90">
        <f>TRUNC((G30*F30),2)</f>
        <v>35.700000000000003</v>
      </c>
      <c r="K30" s="103"/>
    </row>
    <row r="31" spans="1:11" outlineLevel="1">
      <c r="A31" s="323"/>
      <c r="B31" s="115"/>
      <c r="C31" s="136"/>
      <c r="D31" s="302"/>
      <c r="E31" s="115"/>
      <c r="F31" s="303"/>
      <c r="G31" s="120"/>
      <c r="H31" s="120"/>
      <c r="I31" s="120"/>
      <c r="J31" s="101"/>
      <c r="K31" s="120"/>
    </row>
    <row r="32" spans="1:11" outlineLevel="1">
      <c r="A32" s="383" t="s">
        <v>328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5"/>
    </row>
    <row r="33" spans="1:12" outlineLevel="1">
      <c r="A33" s="307"/>
      <c r="B33" s="96"/>
      <c r="C33" s="97"/>
      <c r="D33" s="149"/>
      <c r="E33" s="96"/>
      <c r="F33" s="98"/>
      <c r="G33" s="99"/>
      <c r="H33" s="100"/>
      <c r="I33" s="100"/>
      <c r="J33" s="101"/>
      <c r="K33" s="101"/>
    </row>
    <row r="34" spans="1:12" ht="25.5">
      <c r="A34" s="84">
        <v>6</v>
      </c>
      <c r="B34" s="104" t="s">
        <v>90</v>
      </c>
      <c r="C34" s="104" t="s">
        <v>91</v>
      </c>
      <c r="D34" s="150" t="s">
        <v>277</v>
      </c>
      <c r="E34" s="104" t="s">
        <v>92</v>
      </c>
      <c r="F34" s="105" t="s">
        <v>20</v>
      </c>
      <c r="G34" s="106"/>
      <c r="H34" s="107"/>
      <c r="I34" s="107">
        <f>SUM(I35)</f>
        <v>0</v>
      </c>
      <c r="J34" s="108">
        <f>SUM(J35)</f>
        <v>60.56</v>
      </c>
      <c r="K34" s="90">
        <f>TRUNC((J34+I34),2)</f>
        <v>60.56</v>
      </c>
    </row>
    <row r="35" spans="1:12">
      <c r="B35" s="85" t="s">
        <v>21</v>
      </c>
      <c r="C35" s="85" t="s">
        <v>66</v>
      </c>
      <c r="D35" s="142" t="s">
        <v>23</v>
      </c>
      <c r="E35" s="85" t="s">
        <v>17</v>
      </c>
      <c r="F35" s="87">
        <v>3.956</v>
      </c>
      <c r="G35" s="88">
        <v>15.31</v>
      </c>
      <c r="H35" s="89"/>
      <c r="I35" s="89">
        <v>0</v>
      </c>
      <c r="J35" s="90">
        <f>TRUNC((G35*F35),2)</f>
        <v>60.56</v>
      </c>
      <c r="K35" s="90"/>
    </row>
    <row r="36" spans="1:12" outlineLevel="1"/>
    <row r="37" spans="1:12">
      <c r="A37" s="84">
        <v>7</v>
      </c>
      <c r="B37" s="104" t="s">
        <v>90</v>
      </c>
      <c r="C37" s="114" t="s">
        <v>209</v>
      </c>
      <c r="D37" s="150" t="s">
        <v>210</v>
      </c>
      <c r="E37" s="104" t="s">
        <v>92</v>
      </c>
      <c r="F37" s="105" t="s">
        <v>20</v>
      </c>
      <c r="G37" s="106"/>
      <c r="H37" s="107"/>
      <c r="I37" s="107">
        <f>SUM(I38:I38)</f>
        <v>0</v>
      </c>
      <c r="J37" s="108">
        <f>SUM(J38:J38)</f>
        <v>45.93</v>
      </c>
      <c r="K37" s="90">
        <f>TRUNC((J37+I37),2)</f>
        <v>45.93</v>
      </c>
      <c r="L37" s="61">
        <v>41.7</v>
      </c>
    </row>
    <row r="38" spans="1:12">
      <c r="B38" s="85" t="s">
        <v>21</v>
      </c>
      <c r="C38" s="85">
        <v>88316</v>
      </c>
      <c r="D38" s="142" t="s">
        <v>23</v>
      </c>
      <c r="E38" s="85" t="s">
        <v>17</v>
      </c>
      <c r="F38" s="87">
        <v>3</v>
      </c>
      <c r="G38" s="88">
        <v>15.31</v>
      </c>
      <c r="H38" s="89"/>
      <c r="I38" s="89">
        <v>0</v>
      </c>
      <c r="J38" s="90">
        <f>TRUNC((G38*F38),2)</f>
        <v>45.93</v>
      </c>
      <c r="K38" s="90"/>
      <c r="L38" s="297"/>
    </row>
    <row r="40" spans="1:12" ht="38.25" outlineLevel="2">
      <c r="A40" s="84">
        <v>8</v>
      </c>
      <c r="B40" s="104" t="s">
        <v>219</v>
      </c>
      <c r="C40" s="114">
        <v>94975</v>
      </c>
      <c r="D40" s="150" t="s">
        <v>220</v>
      </c>
      <c r="E40" s="104" t="s">
        <v>92</v>
      </c>
      <c r="F40" s="105" t="s">
        <v>20</v>
      </c>
      <c r="G40" s="106"/>
      <c r="H40" s="107"/>
      <c r="I40" s="107">
        <f>SUM(I41:I44)</f>
        <v>204.4</v>
      </c>
      <c r="J40" s="108">
        <f>SUM(J41:J44)</f>
        <v>153.4</v>
      </c>
      <c r="K40" s="90">
        <f>TRUNC((J40+I40),2)</f>
        <v>357.8</v>
      </c>
      <c r="L40" s="61">
        <v>339.34</v>
      </c>
    </row>
    <row r="41" spans="1:12" outlineLevel="2">
      <c r="B41" s="85" t="s">
        <v>21</v>
      </c>
      <c r="C41" s="85" t="s">
        <v>66</v>
      </c>
      <c r="D41" s="142" t="s">
        <v>23</v>
      </c>
      <c r="E41" s="85" t="s">
        <v>17</v>
      </c>
      <c r="F41" s="87">
        <v>10.02</v>
      </c>
      <c r="G41" s="88">
        <v>15.31</v>
      </c>
      <c r="H41" s="89"/>
      <c r="I41" s="89">
        <v>0</v>
      </c>
      <c r="J41" s="90">
        <f>TRUNC((G41*F41),2)</f>
        <v>153.4</v>
      </c>
      <c r="K41" s="90"/>
    </row>
    <row r="42" spans="1:12" ht="28.15" customHeight="1" outlineLevel="1">
      <c r="B42" s="85" t="s">
        <v>26</v>
      </c>
      <c r="C42" s="85">
        <v>370</v>
      </c>
      <c r="D42" s="142" t="s">
        <v>214</v>
      </c>
      <c r="E42" s="85" t="s">
        <v>92</v>
      </c>
      <c r="F42" s="87">
        <v>0.85</v>
      </c>
      <c r="G42" s="88">
        <v>60</v>
      </c>
      <c r="H42" s="89"/>
      <c r="I42" s="89">
        <f t="shared" ref="I42:I44" si="3">TRUNC((G42*F42),2)</f>
        <v>51</v>
      </c>
      <c r="J42" s="90">
        <v>0</v>
      </c>
      <c r="K42" s="90"/>
    </row>
    <row r="43" spans="1:12" outlineLevel="1">
      <c r="B43" s="85" t="s">
        <v>26</v>
      </c>
      <c r="C43" s="85" t="s">
        <v>215</v>
      </c>
      <c r="D43" s="142" t="s">
        <v>216</v>
      </c>
      <c r="E43" s="85" t="s">
        <v>102</v>
      </c>
      <c r="F43" s="87">
        <v>277.72000000000003</v>
      </c>
      <c r="G43" s="88">
        <v>0.45</v>
      </c>
      <c r="H43" s="89"/>
      <c r="I43" s="89">
        <f t="shared" si="3"/>
        <v>124.97</v>
      </c>
      <c r="J43" s="90">
        <v>0</v>
      </c>
      <c r="K43" s="90"/>
    </row>
    <row r="44" spans="1:12" ht="25.5" outlineLevel="1">
      <c r="B44" s="85" t="s">
        <v>26</v>
      </c>
      <c r="C44" s="85" t="s">
        <v>217</v>
      </c>
      <c r="D44" s="142" t="s">
        <v>218</v>
      </c>
      <c r="E44" s="85" t="s">
        <v>92</v>
      </c>
      <c r="F44" s="87">
        <v>0.58899999999999997</v>
      </c>
      <c r="G44" s="88">
        <v>48.28</v>
      </c>
      <c r="H44" s="89"/>
      <c r="I44" s="89">
        <f t="shared" si="3"/>
        <v>28.43</v>
      </c>
      <c r="J44" s="90">
        <v>0</v>
      </c>
      <c r="K44" s="90"/>
    </row>
    <row r="45" spans="1:12" outlineLevel="1">
      <c r="B45" s="96"/>
      <c r="C45" s="96"/>
      <c r="D45" s="149"/>
      <c r="E45" s="96"/>
      <c r="F45" s="98"/>
      <c r="G45" s="99"/>
      <c r="H45" s="100"/>
      <c r="I45" s="100"/>
      <c r="J45" s="101"/>
      <c r="K45" s="101"/>
    </row>
    <row r="46" spans="1:12" outlineLevel="1">
      <c r="A46" s="135">
        <v>9</v>
      </c>
      <c r="B46" s="122" t="s">
        <v>27</v>
      </c>
      <c r="C46" s="133" t="s">
        <v>227</v>
      </c>
      <c r="D46" s="299" t="s">
        <v>228</v>
      </c>
      <c r="E46" s="122" t="s">
        <v>86</v>
      </c>
      <c r="F46" s="300" t="s">
        <v>20</v>
      </c>
      <c r="G46" s="103"/>
      <c r="H46" s="304"/>
      <c r="I46" s="304">
        <f>SUM(I47:I49)</f>
        <v>0.28000000000000003</v>
      </c>
      <c r="J46" s="304">
        <f>SUM(J47:J49)</f>
        <v>100.27</v>
      </c>
      <c r="K46" s="103">
        <f>J46+I46</f>
        <v>100.55</v>
      </c>
    </row>
    <row r="47" spans="1:12" outlineLevel="1">
      <c r="A47" s="92"/>
      <c r="B47" s="122" t="s">
        <v>21</v>
      </c>
      <c r="C47" s="133">
        <v>88309</v>
      </c>
      <c r="D47" s="299" t="s">
        <v>88</v>
      </c>
      <c r="E47" s="122" t="s">
        <v>17</v>
      </c>
      <c r="F47" s="300">
        <v>1.65</v>
      </c>
      <c r="G47" s="103">
        <v>19.02</v>
      </c>
      <c r="H47" s="103"/>
      <c r="I47" s="103">
        <v>0</v>
      </c>
      <c r="J47" s="90">
        <f t="shared" ref="J47:J48" si="4">TRUNC((G47*F47),2)</f>
        <v>31.38</v>
      </c>
      <c r="K47" s="103"/>
    </row>
    <row r="48" spans="1:12" outlineLevel="1">
      <c r="A48" s="92"/>
      <c r="B48" s="122" t="s">
        <v>21</v>
      </c>
      <c r="C48" s="133" t="s">
        <v>66</v>
      </c>
      <c r="D48" s="299" t="s">
        <v>23</v>
      </c>
      <c r="E48" s="122" t="s">
        <v>17</v>
      </c>
      <c r="F48" s="300">
        <v>4.5</v>
      </c>
      <c r="G48" s="103">
        <v>15.31</v>
      </c>
      <c r="H48" s="103"/>
      <c r="I48" s="103">
        <v>0</v>
      </c>
      <c r="J48" s="90">
        <f t="shared" si="4"/>
        <v>68.89</v>
      </c>
      <c r="K48" s="103"/>
    </row>
    <row r="49" spans="1:13" ht="25.5" outlineLevel="1">
      <c r="A49" s="92"/>
      <c r="B49" s="122" t="s">
        <v>21</v>
      </c>
      <c r="C49" s="133" t="s">
        <v>229</v>
      </c>
      <c r="D49" s="299" t="s">
        <v>230</v>
      </c>
      <c r="E49" s="122" t="s">
        <v>22</v>
      </c>
      <c r="F49" s="300">
        <v>0.3</v>
      </c>
      <c r="G49" s="103">
        <v>0.95</v>
      </c>
      <c r="H49" s="103"/>
      <c r="I49" s="89">
        <f t="shared" ref="I49" si="5">TRUNC((G49*F49),2)</f>
        <v>0.28000000000000003</v>
      </c>
      <c r="J49" s="103">
        <v>0</v>
      </c>
      <c r="K49" s="103"/>
    </row>
    <row r="50" spans="1:13" outlineLevel="1">
      <c r="B50" s="96"/>
      <c r="C50" s="96"/>
      <c r="D50" s="149"/>
      <c r="E50" s="96"/>
      <c r="F50" s="98"/>
      <c r="G50" s="99"/>
      <c r="H50" s="100"/>
      <c r="I50" s="100"/>
      <c r="J50" s="101"/>
      <c r="K50" s="101"/>
    </row>
    <row r="51" spans="1:13" ht="25.5" outlineLevel="1">
      <c r="A51" s="84">
        <v>10</v>
      </c>
      <c r="B51" s="104" t="s">
        <v>27</v>
      </c>
      <c r="C51" s="104" t="s">
        <v>168</v>
      </c>
      <c r="D51" s="150" t="s">
        <v>295</v>
      </c>
      <c r="E51" s="104" t="s">
        <v>1</v>
      </c>
      <c r="F51" s="105" t="s">
        <v>20</v>
      </c>
      <c r="G51" s="106"/>
      <c r="H51" s="107"/>
      <c r="I51" s="107">
        <f>SUM(I52:I54)</f>
        <v>3.05</v>
      </c>
      <c r="J51" s="108">
        <f>SUM(J52:J54)</f>
        <v>3.2</v>
      </c>
      <c r="K51" s="90">
        <f>TRUNC((J51+I51),2)</f>
        <v>6.25</v>
      </c>
    </row>
    <row r="52" spans="1:13" outlineLevel="1">
      <c r="A52" s="113"/>
      <c r="B52" s="85" t="s">
        <v>21</v>
      </c>
      <c r="C52" s="85" t="s">
        <v>65</v>
      </c>
      <c r="D52" s="142" t="s">
        <v>24</v>
      </c>
      <c r="E52" s="85" t="s">
        <v>17</v>
      </c>
      <c r="F52" s="87">
        <v>0.09</v>
      </c>
      <c r="G52" s="88">
        <v>15.92</v>
      </c>
      <c r="H52" s="89"/>
      <c r="I52" s="89">
        <v>0</v>
      </c>
      <c r="J52" s="90">
        <f t="shared" ref="J52:J53" si="6">TRUNC((G52*F52),2)</f>
        <v>1.43</v>
      </c>
      <c r="K52" s="90"/>
    </row>
    <row r="53" spans="1:13" outlineLevel="1">
      <c r="A53" s="113"/>
      <c r="B53" s="85" t="s">
        <v>21</v>
      </c>
      <c r="C53" s="85" t="s">
        <v>64</v>
      </c>
      <c r="D53" s="142" t="s">
        <v>25</v>
      </c>
      <c r="E53" s="85" t="s">
        <v>17</v>
      </c>
      <c r="F53" s="87">
        <v>0.09</v>
      </c>
      <c r="G53" s="88">
        <v>19.7</v>
      </c>
      <c r="H53" s="89"/>
      <c r="I53" s="89">
        <v>0</v>
      </c>
      <c r="J53" s="90">
        <f t="shared" si="6"/>
        <v>1.77</v>
      </c>
      <c r="K53" s="90"/>
    </row>
    <row r="54" spans="1:13" ht="25.5" outlineLevel="1">
      <c r="A54" s="113"/>
      <c r="B54" s="85" t="s">
        <v>26</v>
      </c>
      <c r="C54" s="85">
        <v>39245</v>
      </c>
      <c r="D54" s="142" t="s">
        <v>296</v>
      </c>
      <c r="E54" s="85" t="s">
        <v>1</v>
      </c>
      <c r="F54" s="87">
        <v>1</v>
      </c>
      <c r="G54" s="88">
        <v>3.05</v>
      </c>
      <c r="H54" s="89"/>
      <c r="I54" s="89">
        <f t="shared" ref="I54" si="7">TRUNC((G54*F54),2)</f>
        <v>3.05</v>
      </c>
      <c r="J54" s="90">
        <v>0</v>
      </c>
      <c r="K54" s="90"/>
      <c r="L54" s="61" t="s">
        <v>100</v>
      </c>
    </row>
    <row r="55" spans="1:13" outlineLevel="1">
      <c r="A55" s="113"/>
      <c r="B55" s="113"/>
      <c r="C55" s="113"/>
      <c r="D55" s="153"/>
      <c r="E55" s="113"/>
    </row>
    <row r="56" spans="1:13" ht="38.25" outlineLevel="1">
      <c r="A56" s="84">
        <v>11</v>
      </c>
      <c r="B56" s="104" t="s">
        <v>27</v>
      </c>
      <c r="C56" s="104" t="s">
        <v>278</v>
      </c>
      <c r="D56" s="150" t="s">
        <v>294</v>
      </c>
      <c r="E56" s="104" t="s">
        <v>1</v>
      </c>
      <c r="F56" s="105" t="s">
        <v>20</v>
      </c>
      <c r="G56" s="106"/>
      <c r="H56" s="107"/>
      <c r="I56" s="107">
        <f>SUM(I57:I59)</f>
        <v>5.72</v>
      </c>
      <c r="J56" s="108">
        <f>SUM(J57:J59)</f>
        <v>3.9800000000000004</v>
      </c>
      <c r="K56" s="90">
        <f>TRUNC((J56+I56),2)</f>
        <v>9.6999999999999993</v>
      </c>
    </row>
    <row r="57" spans="1:13" outlineLevel="1">
      <c r="A57" s="113"/>
      <c r="B57" s="85" t="s">
        <v>21</v>
      </c>
      <c r="C57" s="85" t="s">
        <v>65</v>
      </c>
      <c r="D57" s="142" t="s">
        <v>24</v>
      </c>
      <c r="E57" s="85" t="s">
        <v>17</v>
      </c>
      <c r="F57" s="87">
        <v>0.112</v>
      </c>
      <c r="G57" s="88">
        <v>15.92</v>
      </c>
      <c r="H57" s="89"/>
      <c r="I57" s="89">
        <v>0</v>
      </c>
      <c r="J57" s="90">
        <f t="shared" ref="J57:J58" si="8">TRUNC((G57*F57),2)</f>
        <v>1.78</v>
      </c>
      <c r="K57" s="90"/>
    </row>
    <row r="58" spans="1:13" outlineLevel="1">
      <c r="A58" s="113"/>
      <c r="B58" s="85" t="s">
        <v>21</v>
      </c>
      <c r="C58" s="85" t="s">
        <v>64</v>
      </c>
      <c r="D58" s="142" t="s">
        <v>25</v>
      </c>
      <c r="E58" s="85" t="s">
        <v>17</v>
      </c>
      <c r="F58" s="87">
        <v>0.112</v>
      </c>
      <c r="G58" s="88">
        <v>19.7</v>
      </c>
      <c r="H58" s="89"/>
      <c r="I58" s="89">
        <v>0</v>
      </c>
      <c r="J58" s="90">
        <f t="shared" si="8"/>
        <v>2.2000000000000002</v>
      </c>
      <c r="K58" s="90"/>
    </row>
    <row r="59" spans="1:13" ht="25.5" outlineLevel="1">
      <c r="A59" s="113"/>
      <c r="B59" s="85" t="s">
        <v>26</v>
      </c>
      <c r="C59" s="85">
        <v>39246</v>
      </c>
      <c r="D59" s="142" t="s">
        <v>293</v>
      </c>
      <c r="E59" s="85" t="s">
        <v>1</v>
      </c>
      <c r="F59" s="87">
        <v>1</v>
      </c>
      <c r="G59" s="88">
        <v>5.72</v>
      </c>
      <c r="H59" s="89"/>
      <c r="I59" s="89">
        <f t="shared" ref="I59" si="9">TRUNC((G59*F59),2)</f>
        <v>5.72</v>
      </c>
      <c r="J59" s="90">
        <v>0</v>
      </c>
      <c r="K59" s="90"/>
      <c r="L59" s="61" t="s">
        <v>100</v>
      </c>
    </row>
    <row r="60" spans="1:13" outlineLevel="1">
      <c r="A60" s="113"/>
      <c r="B60" s="96"/>
      <c r="C60" s="96"/>
      <c r="D60" s="149"/>
      <c r="E60" s="96"/>
      <c r="F60" s="98"/>
      <c r="G60" s="99"/>
      <c r="H60" s="100"/>
      <c r="I60" s="100"/>
      <c r="J60" s="101"/>
      <c r="K60" s="101"/>
    </row>
    <row r="61" spans="1:13" ht="25.5" outlineLevel="1">
      <c r="A61" s="84">
        <v>12</v>
      </c>
      <c r="B61" s="104" t="s">
        <v>27</v>
      </c>
      <c r="C61" s="114" t="s">
        <v>208</v>
      </c>
      <c r="D61" s="150" t="s">
        <v>101</v>
      </c>
      <c r="E61" s="104" t="s">
        <v>19</v>
      </c>
      <c r="F61" s="105" t="s">
        <v>20</v>
      </c>
      <c r="G61" s="106"/>
      <c r="H61" s="107"/>
      <c r="I61" s="107">
        <f>SUM(I62:I64)</f>
        <v>45.55</v>
      </c>
      <c r="J61" s="108">
        <f>SUM(J62:J64)</f>
        <v>100.56</v>
      </c>
      <c r="K61" s="90">
        <f>TRUNC((J61+I61),2)</f>
        <v>146.11000000000001</v>
      </c>
      <c r="L61" s="61">
        <v>146.11000000000001</v>
      </c>
      <c r="M61" s="113">
        <f>L61-J61</f>
        <v>45.550000000000011</v>
      </c>
    </row>
    <row r="62" spans="1:13" outlineLevel="1">
      <c r="A62" s="113"/>
      <c r="B62" s="85" t="s">
        <v>73</v>
      </c>
      <c r="C62" s="85" t="s">
        <v>29</v>
      </c>
      <c r="D62" s="142" t="s">
        <v>101</v>
      </c>
      <c r="E62" s="85" t="s">
        <v>19</v>
      </c>
      <c r="F62" s="87">
        <v>1</v>
      </c>
      <c r="G62" s="88">
        <v>45.55</v>
      </c>
      <c r="H62" s="89"/>
      <c r="I62" s="89">
        <f t="shared" ref="I62" si="10">TRUNC((G62*F62),2)</f>
        <v>45.55</v>
      </c>
      <c r="J62" s="90">
        <v>0</v>
      </c>
      <c r="K62" s="90"/>
    </row>
    <row r="63" spans="1:13" outlineLevel="1">
      <c r="A63" s="113"/>
      <c r="B63" s="85" t="s">
        <v>21</v>
      </c>
      <c r="C63" s="85" t="s">
        <v>87</v>
      </c>
      <c r="D63" s="142" t="s">
        <v>88</v>
      </c>
      <c r="E63" s="85" t="s">
        <v>17</v>
      </c>
      <c r="F63" s="87">
        <v>1.6789000000000001</v>
      </c>
      <c r="G63" s="88">
        <v>19.02</v>
      </c>
      <c r="H63" s="89"/>
      <c r="I63" s="89">
        <v>0</v>
      </c>
      <c r="J63" s="90">
        <f t="shared" ref="J63:J64" si="11">TRUNC((G63*F63),2)</f>
        <v>31.93</v>
      </c>
      <c r="K63" s="90"/>
    </row>
    <row r="64" spans="1:13" outlineLevel="1">
      <c r="A64" s="113"/>
      <c r="B64" s="85" t="s">
        <v>21</v>
      </c>
      <c r="C64" s="85" t="s">
        <v>66</v>
      </c>
      <c r="D64" s="142" t="s">
        <v>23</v>
      </c>
      <c r="E64" s="85" t="s">
        <v>17</v>
      </c>
      <c r="F64" s="87">
        <v>4.4832000000000001</v>
      </c>
      <c r="G64" s="88">
        <v>15.31</v>
      </c>
      <c r="H64" s="89"/>
      <c r="I64" s="89">
        <v>0</v>
      </c>
      <c r="J64" s="90">
        <f t="shared" si="11"/>
        <v>68.63</v>
      </c>
      <c r="K64" s="90"/>
    </row>
    <row r="65" spans="1:11" outlineLevel="1">
      <c r="A65" s="113"/>
      <c r="B65" s="96"/>
      <c r="C65" s="96"/>
      <c r="D65" s="149"/>
      <c r="E65" s="96"/>
      <c r="F65" s="98"/>
      <c r="G65" s="99"/>
      <c r="H65" s="100"/>
      <c r="I65" s="100"/>
      <c r="J65" s="101"/>
      <c r="K65" s="101"/>
    </row>
    <row r="66" spans="1:11" ht="38.25" outlineLevel="1">
      <c r="A66" s="84">
        <v>13</v>
      </c>
      <c r="B66" s="125" t="s">
        <v>143</v>
      </c>
      <c r="C66" s="126">
        <v>92365</v>
      </c>
      <c r="D66" s="154" t="s">
        <v>279</v>
      </c>
      <c r="E66" s="127" t="s">
        <v>1</v>
      </c>
      <c r="F66" s="128"/>
      <c r="G66" s="129"/>
      <c r="H66" s="130"/>
      <c r="I66" s="131">
        <f>SUM(I67:I69)</f>
        <v>23.87</v>
      </c>
      <c r="J66" s="132">
        <f>SUM(J67:J69)</f>
        <v>6.82</v>
      </c>
      <c r="K66" s="90">
        <f>TRUNC((J66+I66),2)</f>
        <v>30.69</v>
      </c>
    </row>
    <row r="67" spans="1:11" ht="25.5" outlineLevel="1">
      <c r="A67" s="92"/>
      <c r="B67" s="85" t="s">
        <v>21</v>
      </c>
      <c r="C67" s="133">
        <v>88248</v>
      </c>
      <c r="D67" s="143" t="s">
        <v>144</v>
      </c>
      <c r="E67" s="122" t="s">
        <v>17</v>
      </c>
      <c r="F67" s="123">
        <v>0.19400000000000001</v>
      </c>
      <c r="G67" s="124">
        <v>15.74</v>
      </c>
      <c r="H67" s="134"/>
      <c r="I67" s="89">
        <v>0</v>
      </c>
      <c r="J67" s="90">
        <f t="shared" ref="J67:J68" si="12">TRUNC((G67*F67),2)</f>
        <v>3.05</v>
      </c>
      <c r="K67" s="134"/>
    </row>
    <row r="68" spans="1:11" ht="25.5" outlineLevel="1">
      <c r="A68" s="92"/>
      <c r="B68" s="85" t="s">
        <v>21</v>
      </c>
      <c r="C68" s="133">
        <v>88267</v>
      </c>
      <c r="D68" s="143" t="s">
        <v>145</v>
      </c>
      <c r="E68" s="122" t="s">
        <v>17</v>
      </c>
      <c r="F68" s="123">
        <v>0.19400000000000001</v>
      </c>
      <c r="G68" s="124">
        <v>19.47</v>
      </c>
      <c r="H68" s="134"/>
      <c r="I68" s="89">
        <v>0</v>
      </c>
      <c r="J68" s="90">
        <f t="shared" si="12"/>
        <v>3.77</v>
      </c>
      <c r="K68" s="134"/>
    </row>
    <row r="69" spans="1:11" ht="25.5" outlineLevel="1">
      <c r="A69" s="92"/>
      <c r="B69" s="85" t="s">
        <v>26</v>
      </c>
      <c r="C69" s="133">
        <v>7697</v>
      </c>
      <c r="D69" s="143" t="s">
        <v>280</v>
      </c>
      <c r="E69" s="122" t="s">
        <v>1</v>
      </c>
      <c r="F69" s="123">
        <v>1.0389999999999999</v>
      </c>
      <c r="G69" s="124">
        <v>22.98</v>
      </c>
      <c r="H69" s="134"/>
      <c r="I69" s="89">
        <f t="shared" ref="I69" si="13">TRUNC((G69*F69),2)</f>
        <v>23.87</v>
      </c>
      <c r="J69" s="90">
        <v>0</v>
      </c>
      <c r="K69" s="134"/>
    </row>
    <row r="70" spans="1:11" outlineLevel="1">
      <c r="A70" s="95"/>
      <c r="B70" s="115"/>
      <c r="C70" s="116"/>
      <c r="D70" s="152"/>
      <c r="E70" s="116"/>
      <c r="F70" s="117"/>
      <c r="G70" s="118"/>
      <c r="H70" s="119"/>
      <c r="I70" s="100"/>
      <c r="J70" s="120"/>
      <c r="K70" s="121"/>
    </row>
    <row r="71" spans="1:11" ht="25.5" outlineLevel="1">
      <c r="A71" s="135">
        <v>14</v>
      </c>
      <c r="B71" s="125" t="s">
        <v>143</v>
      </c>
      <c r="C71" s="125" t="s">
        <v>283</v>
      </c>
      <c r="D71" s="154" t="s">
        <v>281</v>
      </c>
      <c r="E71" s="125" t="s">
        <v>19</v>
      </c>
      <c r="F71" s="125" t="s">
        <v>20</v>
      </c>
      <c r="G71" s="129"/>
      <c r="H71" s="130"/>
      <c r="I71" s="131">
        <f>SUM(I72:I74)</f>
        <v>3.84</v>
      </c>
      <c r="J71" s="132">
        <f>SUM(J72:J74)</f>
        <v>9.2899999999999991</v>
      </c>
      <c r="K71" s="90">
        <f>TRUNC((J71+I71),2)</f>
        <v>13.13</v>
      </c>
    </row>
    <row r="72" spans="1:11" ht="25.5" outlineLevel="1">
      <c r="B72" s="85" t="s">
        <v>21</v>
      </c>
      <c r="C72" s="133" t="s">
        <v>164</v>
      </c>
      <c r="D72" s="142" t="s">
        <v>144</v>
      </c>
      <c r="E72" s="122" t="s">
        <v>17</v>
      </c>
      <c r="F72" s="123">
        <v>0.26400000000000001</v>
      </c>
      <c r="G72" s="124">
        <v>15.74</v>
      </c>
      <c r="H72" s="134"/>
      <c r="I72" s="89">
        <v>0</v>
      </c>
      <c r="J72" s="90">
        <f t="shared" ref="J72:J73" si="14">TRUNC((G72*F72),2)</f>
        <v>4.1500000000000004</v>
      </c>
      <c r="K72" s="134"/>
    </row>
    <row r="73" spans="1:11" ht="25.5" outlineLevel="1">
      <c r="B73" s="85" t="s">
        <v>21</v>
      </c>
      <c r="C73" s="133" t="s">
        <v>165</v>
      </c>
      <c r="D73" s="142" t="s">
        <v>145</v>
      </c>
      <c r="E73" s="122" t="s">
        <v>17</v>
      </c>
      <c r="F73" s="123">
        <v>0.26400000000000001</v>
      </c>
      <c r="G73" s="124">
        <v>19.47</v>
      </c>
      <c r="H73" s="134"/>
      <c r="I73" s="89">
        <v>0</v>
      </c>
      <c r="J73" s="90">
        <f t="shared" si="14"/>
        <v>5.14</v>
      </c>
      <c r="K73" s="134"/>
    </row>
    <row r="74" spans="1:11" ht="25.5" outlineLevel="1">
      <c r="B74" s="85" t="s">
        <v>26</v>
      </c>
      <c r="C74" s="133">
        <v>1875</v>
      </c>
      <c r="D74" s="142" t="s">
        <v>282</v>
      </c>
      <c r="E74" s="122" t="s">
        <v>19</v>
      </c>
      <c r="F74" s="123">
        <v>1</v>
      </c>
      <c r="G74" s="124">
        <v>3.84</v>
      </c>
      <c r="H74" s="134"/>
      <c r="I74" s="89">
        <f t="shared" ref="I74" si="15">TRUNC((G74*F74),2)</f>
        <v>3.84</v>
      </c>
      <c r="J74" s="90">
        <v>0</v>
      </c>
      <c r="K74" s="134"/>
    </row>
    <row r="75" spans="1:11" outlineLevel="1">
      <c r="A75" s="95"/>
      <c r="B75" s="115"/>
      <c r="C75" s="116"/>
      <c r="D75" s="152"/>
      <c r="E75" s="116"/>
      <c r="F75" s="117"/>
      <c r="G75" s="118"/>
      <c r="H75" s="119"/>
      <c r="I75" s="100"/>
      <c r="J75" s="120"/>
      <c r="K75" s="121"/>
    </row>
    <row r="76" spans="1:11" ht="25.5" outlineLevel="1">
      <c r="A76" s="135">
        <v>15</v>
      </c>
      <c r="B76" s="125" t="s">
        <v>143</v>
      </c>
      <c r="C76" s="125">
        <v>93013</v>
      </c>
      <c r="D76" s="154" t="s">
        <v>285</v>
      </c>
      <c r="E76" s="125" t="s">
        <v>19</v>
      </c>
      <c r="F76" s="125" t="s">
        <v>20</v>
      </c>
      <c r="G76" s="129"/>
      <c r="H76" s="130"/>
      <c r="I76" s="131">
        <f>SUM(I77:I79)</f>
        <v>2.39</v>
      </c>
      <c r="J76" s="132">
        <f>SUM(J77:J79)</f>
        <v>7.9700000000000006</v>
      </c>
      <c r="K76" s="90">
        <f>TRUNC((J76+I76),2)</f>
        <v>10.36</v>
      </c>
    </row>
    <row r="77" spans="1:11" ht="25.5" outlineLevel="1">
      <c r="B77" s="85" t="s">
        <v>21</v>
      </c>
      <c r="C77" s="133" t="s">
        <v>164</v>
      </c>
      <c r="D77" s="142" t="s">
        <v>144</v>
      </c>
      <c r="E77" s="122" t="s">
        <v>17</v>
      </c>
      <c r="F77" s="123">
        <v>0.22700000000000001</v>
      </c>
      <c r="G77" s="124">
        <v>15.74</v>
      </c>
      <c r="H77" s="134"/>
      <c r="I77" s="89">
        <v>0</v>
      </c>
      <c r="J77" s="90">
        <f t="shared" ref="J77:J78" si="16">TRUNC((G77*F77),2)</f>
        <v>3.57</v>
      </c>
      <c r="K77" s="134"/>
    </row>
    <row r="78" spans="1:11" ht="25.5" outlineLevel="1">
      <c r="B78" s="85" t="s">
        <v>21</v>
      </c>
      <c r="C78" s="133" t="s">
        <v>165</v>
      </c>
      <c r="D78" s="142" t="s">
        <v>145</v>
      </c>
      <c r="E78" s="122" t="s">
        <v>17</v>
      </c>
      <c r="F78" s="123">
        <v>0.22600000000000001</v>
      </c>
      <c r="G78" s="124">
        <v>19.47</v>
      </c>
      <c r="H78" s="134"/>
      <c r="I78" s="89">
        <v>0</v>
      </c>
      <c r="J78" s="90">
        <f t="shared" si="16"/>
        <v>4.4000000000000004</v>
      </c>
      <c r="K78" s="134"/>
    </row>
    <row r="79" spans="1:11" outlineLevel="1">
      <c r="B79" s="85" t="s">
        <v>26</v>
      </c>
      <c r="C79" s="133">
        <v>1893</v>
      </c>
      <c r="D79" s="142" t="s">
        <v>284</v>
      </c>
      <c r="E79" s="122" t="s">
        <v>19</v>
      </c>
      <c r="F79" s="123">
        <v>1</v>
      </c>
      <c r="G79" s="124">
        <v>2.39</v>
      </c>
      <c r="H79" s="134"/>
      <c r="I79" s="89">
        <f t="shared" ref="I79" si="17">TRUNC((G79*F79),2)</f>
        <v>2.39</v>
      </c>
      <c r="J79" s="90">
        <v>0</v>
      </c>
      <c r="K79" s="134"/>
    </row>
    <row r="80" spans="1:11" outlineLevel="1">
      <c r="A80" s="95"/>
      <c r="B80" s="115"/>
      <c r="C80" s="116"/>
      <c r="D80" s="152"/>
      <c r="E80" s="116"/>
      <c r="F80" s="117"/>
      <c r="G80" s="118"/>
      <c r="H80" s="119"/>
      <c r="I80" s="100"/>
      <c r="J80" s="120"/>
      <c r="K80" s="121"/>
    </row>
    <row r="81" spans="1:12" ht="25.5" outlineLevel="1">
      <c r="A81" s="139">
        <v>16</v>
      </c>
      <c r="B81" s="104" t="s">
        <v>27</v>
      </c>
      <c r="C81" s="114" t="s">
        <v>169</v>
      </c>
      <c r="D81" s="150" t="s">
        <v>170</v>
      </c>
      <c r="E81" s="104" t="s">
        <v>19</v>
      </c>
      <c r="F81" s="105" t="s">
        <v>20</v>
      </c>
      <c r="G81" s="106"/>
      <c r="H81" s="107"/>
      <c r="I81" s="107">
        <f>SUM(I82:I85)</f>
        <v>56.099999999999994</v>
      </c>
      <c r="J81" s="108">
        <f>SUM(J82:J85)</f>
        <v>1.23</v>
      </c>
      <c r="K81" s="90">
        <f>TRUNC((J81+I81),2)</f>
        <v>57.33</v>
      </c>
    </row>
    <row r="82" spans="1:12" outlineLevel="1">
      <c r="A82" s="113"/>
      <c r="B82" s="85" t="s">
        <v>21</v>
      </c>
      <c r="C82" s="85" t="s">
        <v>65</v>
      </c>
      <c r="D82" s="142" t="s">
        <v>24</v>
      </c>
      <c r="E82" s="85" t="s">
        <v>17</v>
      </c>
      <c r="F82" s="87">
        <v>3.5000000000000003E-2</v>
      </c>
      <c r="G82" s="88">
        <v>15.92</v>
      </c>
      <c r="H82" s="89"/>
      <c r="I82" s="89">
        <v>0</v>
      </c>
      <c r="J82" s="90">
        <f t="shared" ref="J82:J83" si="18">TRUNC((G82*F82),2)</f>
        <v>0.55000000000000004</v>
      </c>
      <c r="K82" s="90"/>
    </row>
    <row r="83" spans="1:12" outlineLevel="1">
      <c r="A83" s="113"/>
      <c r="B83" s="85" t="s">
        <v>21</v>
      </c>
      <c r="C83" s="85" t="s">
        <v>64</v>
      </c>
      <c r="D83" s="142" t="s">
        <v>25</v>
      </c>
      <c r="E83" s="85" t="s">
        <v>17</v>
      </c>
      <c r="F83" s="87">
        <v>3.5000000000000003E-2</v>
      </c>
      <c r="G83" s="88">
        <v>19.7</v>
      </c>
      <c r="H83" s="89"/>
      <c r="I83" s="89">
        <v>0</v>
      </c>
      <c r="J83" s="90">
        <f t="shared" si="18"/>
        <v>0.68</v>
      </c>
      <c r="K83" s="90"/>
    </row>
    <row r="84" spans="1:12" ht="25.5" outlineLevel="1">
      <c r="A84" s="113"/>
      <c r="B84" s="85" t="s">
        <v>26</v>
      </c>
      <c r="C84" s="85">
        <v>1571</v>
      </c>
      <c r="D84" s="142" t="s">
        <v>120</v>
      </c>
      <c r="E84" s="85" t="s">
        <v>19</v>
      </c>
      <c r="F84" s="87">
        <v>3</v>
      </c>
      <c r="G84" s="88">
        <v>0.48</v>
      </c>
      <c r="H84" s="89"/>
      <c r="I84" s="89">
        <f t="shared" ref="I84:I85" si="19">TRUNC((G84*F84),2)</f>
        <v>1.44</v>
      </c>
      <c r="J84" s="90">
        <v>0</v>
      </c>
      <c r="K84" s="90"/>
    </row>
    <row r="85" spans="1:12" outlineLevel="1">
      <c r="A85" s="113"/>
      <c r="B85" s="85" t="s">
        <v>99</v>
      </c>
      <c r="C85" s="85" t="s">
        <v>29</v>
      </c>
      <c r="D85" s="142" t="s">
        <v>171</v>
      </c>
      <c r="E85" s="85" t="s">
        <v>19</v>
      </c>
      <c r="F85" s="87">
        <v>1</v>
      </c>
      <c r="G85" s="88">
        <v>54.66</v>
      </c>
      <c r="H85" s="89"/>
      <c r="I85" s="89">
        <f t="shared" si="19"/>
        <v>54.66</v>
      </c>
      <c r="J85" s="90">
        <v>0</v>
      </c>
      <c r="K85" s="90"/>
      <c r="L85" s="61" t="s">
        <v>100</v>
      </c>
    </row>
    <row r="86" spans="1:12" outlineLevel="1">
      <c r="A86" s="113"/>
      <c r="B86" s="96"/>
      <c r="C86" s="96"/>
      <c r="D86" s="149"/>
      <c r="E86" s="96"/>
      <c r="F86" s="98"/>
      <c r="G86" s="99"/>
      <c r="H86" s="100"/>
      <c r="I86" s="100"/>
      <c r="J86" s="101"/>
      <c r="K86" s="101"/>
    </row>
    <row r="87" spans="1:12" ht="25.5" outlineLevel="1">
      <c r="A87" s="139">
        <v>17</v>
      </c>
      <c r="B87" s="104" t="s">
        <v>27</v>
      </c>
      <c r="C87" s="125" t="s">
        <v>254</v>
      </c>
      <c r="D87" s="150" t="s">
        <v>160</v>
      </c>
      <c r="E87" s="104" t="s">
        <v>19</v>
      </c>
      <c r="F87" s="105" t="s">
        <v>20</v>
      </c>
      <c r="G87" s="106"/>
      <c r="H87" s="107"/>
      <c r="I87" s="107">
        <f>SUM(I88:I91)</f>
        <v>43.88</v>
      </c>
      <c r="J87" s="108">
        <f>SUM(J88:J91)</f>
        <v>14.45</v>
      </c>
      <c r="K87" s="90">
        <f>TRUNC((J87+I87),2)</f>
        <v>58.33</v>
      </c>
    </row>
    <row r="88" spans="1:12" outlineLevel="1">
      <c r="A88" s="113"/>
      <c r="B88" s="85" t="s">
        <v>21</v>
      </c>
      <c r="C88" s="85" t="s">
        <v>65</v>
      </c>
      <c r="D88" s="142" t="s">
        <v>24</v>
      </c>
      <c r="E88" s="85" t="s">
        <v>17</v>
      </c>
      <c r="F88" s="87">
        <v>0.40600000000000003</v>
      </c>
      <c r="G88" s="88">
        <v>15.92</v>
      </c>
      <c r="H88" s="89"/>
      <c r="I88" s="89">
        <v>0</v>
      </c>
      <c r="J88" s="90">
        <f t="shared" ref="J88:J89" si="20">TRUNC((G88*F88),2)</f>
        <v>6.46</v>
      </c>
      <c r="K88" s="90"/>
    </row>
    <row r="89" spans="1:12" outlineLevel="1">
      <c r="A89" s="113"/>
      <c r="B89" s="85" t="s">
        <v>21</v>
      </c>
      <c r="C89" s="85" t="s">
        <v>64</v>
      </c>
      <c r="D89" s="142" t="s">
        <v>25</v>
      </c>
      <c r="E89" s="85" t="s">
        <v>17</v>
      </c>
      <c r="F89" s="87">
        <v>0.40600000000000003</v>
      </c>
      <c r="G89" s="88">
        <v>19.7</v>
      </c>
      <c r="H89" s="89"/>
      <c r="I89" s="89">
        <v>0</v>
      </c>
      <c r="J89" s="90">
        <f t="shared" si="20"/>
        <v>7.99</v>
      </c>
      <c r="K89" s="90"/>
    </row>
    <row r="90" spans="1:12" ht="25.5" outlineLevel="1">
      <c r="A90" s="113"/>
      <c r="B90" s="85" t="s">
        <v>26</v>
      </c>
      <c r="C90" s="85">
        <v>1574</v>
      </c>
      <c r="D90" s="142" t="s">
        <v>149</v>
      </c>
      <c r="E90" s="85" t="s">
        <v>19</v>
      </c>
      <c r="F90" s="87">
        <v>3</v>
      </c>
      <c r="G90" s="88">
        <v>0.62</v>
      </c>
      <c r="H90" s="89"/>
      <c r="I90" s="89">
        <f t="shared" ref="I90:I91" si="21">TRUNC((G90*F90),2)</f>
        <v>1.86</v>
      </c>
      <c r="J90" s="90">
        <v>0</v>
      </c>
      <c r="K90" s="90"/>
    </row>
    <row r="91" spans="1:12" outlineLevel="1">
      <c r="A91" s="113"/>
      <c r="B91" s="85" t="s">
        <v>26</v>
      </c>
      <c r="C91" s="85">
        <v>34709</v>
      </c>
      <c r="D91" s="142" t="s">
        <v>255</v>
      </c>
      <c r="E91" s="85" t="s">
        <v>19</v>
      </c>
      <c r="F91" s="87">
        <v>1</v>
      </c>
      <c r="G91" s="88">
        <v>42.02</v>
      </c>
      <c r="H91" s="89"/>
      <c r="I91" s="89">
        <f t="shared" si="21"/>
        <v>42.02</v>
      </c>
      <c r="J91" s="90">
        <v>0</v>
      </c>
      <c r="K91" s="90"/>
    </row>
    <row r="92" spans="1:12" outlineLevel="1">
      <c r="A92" s="113"/>
      <c r="B92" s="113"/>
      <c r="C92" s="113"/>
      <c r="D92" s="153"/>
      <c r="E92" s="113"/>
    </row>
    <row r="93" spans="1:12" ht="38.25" outlineLevel="1">
      <c r="A93" s="139">
        <v>18</v>
      </c>
      <c r="B93" s="104" t="s">
        <v>27</v>
      </c>
      <c r="C93" s="114" t="s">
        <v>122</v>
      </c>
      <c r="D93" s="150" t="s">
        <v>162</v>
      </c>
      <c r="E93" s="104" t="s">
        <v>19</v>
      </c>
      <c r="F93" s="105" t="s">
        <v>20</v>
      </c>
      <c r="G93" s="106"/>
      <c r="H93" s="107"/>
      <c r="I93" s="107">
        <f>SUM(I94:I103)</f>
        <v>820.18000000000006</v>
      </c>
      <c r="J93" s="108">
        <f>SUM(J94:J103)</f>
        <v>89.05</v>
      </c>
      <c r="K93" s="90">
        <f>TRUNC((J93+I93),2)</f>
        <v>909.23</v>
      </c>
    </row>
    <row r="94" spans="1:12" outlineLevel="1">
      <c r="A94" s="113"/>
      <c r="B94" s="85" t="s">
        <v>21</v>
      </c>
      <c r="C94" s="85" t="s">
        <v>65</v>
      </c>
      <c r="D94" s="142" t="s">
        <v>24</v>
      </c>
      <c r="E94" s="85" t="s">
        <v>17</v>
      </c>
      <c r="F94" s="87">
        <v>2.5</v>
      </c>
      <c r="G94" s="88">
        <v>15.92</v>
      </c>
      <c r="H94" s="89"/>
      <c r="I94" s="89">
        <v>0</v>
      </c>
      <c r="J94" s="90">
        <f t="shared" ref="J94:J95" si="22">TRUNC((G94*F94),2)</f>
        <v>39.799999999999997</v>
      </c>
      <c r="K94" s="90"/>
    </row>
    <row r="95" spans="1:12" outlineLevel="1">
      <c r="A95" s="113"/>
      <c r="B95" s="85" t="s">
        <v>21</v>
      </c>
      <c r="C95" s="85" t="s">
        <v>64</v>
      </c>
      <c r="D95" s="142" t="s">
        <v>25</v>
      </c>
      <c r="E95" s="85" t="s">
        <v>17</v>
      </c>
      <c r="F95" s="87">
        <v>2.5</v>
      </c>
      <c r="G95" s="88">
        <v>19.7</v>
      </c>
      <c r="H95" s="89"/>
      <c r="I95" s="89">
        <v>0</v>
      </c>
      <c r="J95" s="90">
        <f t="shared" si="22"/>
        <v>49.25</v>
      </c>
      <c r="K95" s="90"/>
    </row>
    <row r="96" spans="1:12" outlineLevel="1">
      <c r="A96" s="113"/>
      <c r="B96" s="85" t="s">
        <v>73</v>
      </c>
      <c r="C96" s="85" t="s">
        <v>29</v>
      </c>
      <c r="D96" s="142" t="s">
        <v>152</v>
      </c>
      <c r="E96" s="85" t="s">
        <v>19</v>
      </c>
      <c r="F96" s="87">
        <v>1</v>
      </c>
      <c r="G96" s="88">
        <v>744.09</v>
      </c>
      <c r="H96" s="89"/>
      <c r="I96" s="89">
        <f t="shared" ref="I96:I103" si="23">TRUNC((G96*F96),2)</f>
        <v>744.09</v>
      </c>
      <c r="J96" s="90">
        <v>0</v>
      </c>
      <c r="K96" s="85"/>
    </row>
    <row r="97" spans="1:12" outlineLevel="1">
      <c r="A97" s="113"/>
      <c r="B97" s="85" t="s">
        <v>73</v>
      </c>
      <c r="C97" s="85" t="s">
        <v>29</v>
      </c>
      <c r="D97" s="142" t="s">
        <v>166</v>
      </c>
      <c r="E97" s="85" t="s">
        <v>1</v>
      </c>
      <c r="F97" s="87">
        <v>0.5</v>
      </c>
      <c r="G97" s="88">
        <v>8.15</v>
      </c>
      <c r="H97" s="89"/>
      <c r="I97" s="89">
        <f t="shared" si="23"/>
        <v>4.07</v>
      </c>
      <c r="J97" s="90">
        <v>0</v>
      </c>
      <c r="K97" s="85"/>
    </row>
    <row r="98" spans="1:12" outlineLevel="1">
      <c r="A98" s="113"/>
      <c r="B98" s="85" t="s">
        <v>73</v>
      </c>
      <c r="C98" s="85" t="s">
        <v>29</v>
      </c>
      <c r="D98" s="142" t="s">
        <v>157</v>
      </c>
      <c r="E98" s="85" t="s">
        <v>19</v>
      </c>
      <c r="F98" s="87">
        <v>2</v>
      </c>
      <c r="G98" s="88">
        <v>8.15</v>
      </c>
      <c r="H98" s="89"/>
      <c r="I98" s="89">
        <f t="shared" si="23"/>
        <v>16.3</v>
      </c>
      <c r="J98" s="90">
        <v>0</v>
      </c>
      <c r="K98" s="85"/>
    </row>
    <row r="99" spans="1:12" outlineLevel="1">
      <c r="A99" s="113"/>
      <c r="B99" s="85" t="s">
        <v>73</v>
      </c>
      <c r="C99" s="85" t="s">
        <v>29</v>
      </c>
      <c r="D99" s="142" t="s">
        <v>153</v>
      </c>
      <c r="E99" s="85" t="s">
        <v>19</v>
      </c>
      <c r="F99" s="87">
        <v>4</v>
      </c>
      <c r="G99" s="88">
        <v>8.15</v>
      </c>
      <c r="H99" s="89"/>
      <c r="I99" s="89">
        <f t="shared" si="23"/>
        <v>32.6</v>
      </c>
      <c r="J99" s="90">
        <v>0</v>
      </c>
      <c r="K99" s="85"/>
    </row>
    <row r="100" spans="1:12" outlineLevel="1">
      <c r="A100" s="113"/>
      <c r="B100" s="85" t="s">
        <v>73</v>
      </c>
      <c r="C100" s="85" t="s">
        <v>29</v>
      </c>
      <c r="D100" s="142" t="s">
        <v>154</v>
      </c>
      <c r="E100" s="85" t="s">
        <v>19</v>
      </c>
      <c r="F100" s="87">
        <v>4</v>
      </c>
      <c r="G100" s="88">
        <v>2.4</v>
      </c>
      <c r="H100" s="89"/>
      <c r="I100" s="89">
        <f t="shared" si="23"/>
        <v>9.6</v>
      </c>
      <c r="J100" s="90">
        <v>0</v>
      </c>
      <c r="K100" s="85"/>
    </row>
    <row r="101" spans="1:12" outlineLevel="1">
      <c r="A101" s="113"/>
      <c r="B101" s="85" t="s">
        <v>73</v>
      </c>
      <c r="C101" s="85" t="s">
        <v>29</v>
      </c>
      <c r="D101" s="142" t="s">
        <v>155</v>
      </c>
      <c r="E101" s="85" t="s">
        <v>19</v>
      </c>
      <c r="F101" s="87">
        <v>4</v>
      </c>
      <c r="G101" s="88">
        <v>3.08</v>
      </c>
      <c r="H101" s="89"/>
      <c r="I101" s="89">
        <f t="shared" si="23"/>
        <v>12.32</v>
      </c>
      <c r="J101" s="90">
        <v>0</v>
      </c>
      <c r="K101" s="85"/>
    </row>
    <row r="102" spans="1:12" outlineLevel="1">
      <c r="A102" s="113"/>
      <c r="B102" s="85" t="s">
        <v>73</v>
      </c>
      <c r="C102" s="85" t="s">
        <v>29</v>
      </c>
      <c r="D102" s="142" t="s">
        <v>156</v>
      </c>
      <c r="E102" s="85" t="s">
        <v>19</v>
      </c>
      <c r="F102" s="87">
        <v>4</v>
      </c>
      <c r="G102" s="88">
        <v>0.2</v>
      </c>
      <c r="H102" s="89"/>
      <c r="I102" s="89">
        <f t="shared" si="23"/>
        <v>0.8</v>
      </c>
      <c r="J102" s="90">
        <v>0</v>
      </c>
      <c r="K102" s="85"/>
    </row>
    <row r="103" spans="1:12" outlineLevel="1">
      <c r="A103" s="113"/>
      <c r="B103" s="85" t="s">
        <v>73</v>
      </c>
      <c r="C103" s="85" t="s">
        <v>29</v>
      </c>
      <c r="D103" s="142" t="s">
        <v>223</v>
      </c>
      <c r="E103" s="85" t="s">
        <v>19</v>
      </c>
      <c r="F103" s="87">
        <v>2</v>
      </c>
      <c r="G103" s="88">
        <v>0.2</v>
      </c>
      <c r="H103" s="89"/>
      <c r="I103" s="89">
        <f t="shared" si="23"/>
        <v>0.4</v>
      </c>
      <c r="J103" s="90">
        <v>0</v>
      </c>
      <c r="K103" s="85"/>
    </row>
    <row r="104" spans="1:12" outlineLevel="1">
      <c r="A104" s="113"/>
      <c r="B104" s="113"/>
      <c r="C104" s="113"/>
      <c r="D104" s="153"/>
      <c r="E104" s="113"/>
    </row>
    <row r="105" spans="1:12" ht="45.6" customHeight="1" outlineLevel="1">
      <c r="A105" s="139">
        <v>19</v>
      </c>
      <c r="B105" s="104" t="s">
        <v>27</v>
      </c>
      <c r="C105" s="104" t="s">
        <v>315</v>
      </c>
      <c r="D105" s="150" t="s">
        <v>298</v>
      </c>
      <c r="E105" s="104" t="s">
        <v>19</v>
      </c>
      <c r="F105" s="105" t="s">
        <v>20</v>
      </c>
      <c r="G105" s="106"/>
      <c r="H105" s="107"/>
      <c r="I105" s="107">
        <f>SUM(I106:I108)</f>
        <v>41.71</v>
      </c>
      <c r="J105" s="108">
        <f>SUM(J106:J108)</f>
        <v>14.24</v>
      </c>
      <c r="K105" s="90">
        <f>TRUNC((J105+I105),2)</f>
        <v>55.95</v>
      </c>
      <c r="L105" s="61">
        <v>42.16</v>
      </c>
    </row>
    <row r="106" spans="1:12" outlineLevel="1">
      <c r="A106" s="113"/>
      <c r="B106" s="85" t="s">
        <v>21</v>
      </c>
      <c r="C106" s="85" t="s">
        <v>65</v>
      </c>
      <c r="D106" s="142" t="s">
        <v>24</v>
      </c>
      <c r="E106" s="85" t="s">
        <v>17</v>
      </c>
      <c r="F106" s="87">
        <v>0.4</v>
      </c>
      <c r="G106" s="88">
        <v>15.92</v>
      </c>
      <c r="H106" s="89"/>
      <c r="I106" s="89">
        <v>0</v>
      </c>
      <c r="J106" s="90">
        <f t="shared" ref="J106:J107" si="24">TRUNC((G106*F106),2)</f>
        <v>6.36</v>
      </c>
      <c r="K106" s="90"/>
    </row>
    <row r="107" spans="1:12" outlineLevel="1">
      <c r="A107" s="113"/>
      <c r="B107" s="85" t="s">
        <v>21</v>
      </c>
      <c r="C107" s="85" t="s">
        <v>64</v>
      </c>
      <c r="D107" s="142" t="s">
        <v>25</v>
      </c>
      <c r="E107" s="85" t="s">
        <v>17</v>
      </c>
      <c r="F107" s="87">
        <v>0.4</v>
      </c>
      <c r="G107" s="88">
        <v>19.7</v>
      </c>
      <c r="H107" s="89"/>
      <c r="I107" s="89">
        <v>0</v>
      </c>
      <c r="J107" s="90">
        <f t="shared" si="24"/>
        <v>7.88</v>
      </c>
      <c r="K107" s="90"/>
    </row>
    <row r="108" spans="1:12" ht="38.25" outlineLevel="1">
      <c r="A108" s="113"/>
      <c r="B108" s="85" t="s">
        <v>317</v>
      </c>
      <c r="C108" s="85" t="s">
        <v>316</v>
      </c>
      <c r="D108" s="142" t="s">
        <v>297</v>
      </c>
      <c r="E108" s="85" t="s">
        <v>19</v>
      </c>
      <c r="F108" s="87">
        <v>1</v>
      </c>
      <c r="G108" s="88">
        <v>41.71</v>
      </c>
      <c r="H108" s="89"/>
      <c r="I108" s="89">
        <f t="shared" ref="I108" si="25">TRUNC((G108*F108),2)</f>
        <v>41.71</v>
      </c>
      <c r="J108" s="90">
        <v>0</v>
      </c>
      <c r="K108" s="85"/>
    </row>
    <row r="109" spans="1:12" outlineLevel="1">
      <c r="A109" s="113"/>
      <c r="B109" s="113"/>
      <c r="C109" s="113"/>
      <c r="D109" s="153"/>
      <c r="E109" s="113"/>
    </row>
    <row r="110" spans="1:12" ht="25.5" outlineLevel="1">
      <c r="A110" s="139">
        <v>20</v>
      </c>
      <c r="B110" s="104" t="s">
        <v>27</v>
      </c>
      <c r="C110" s="114">
        <v>72343</v>
      </c>
      <c r="D110" s="150" t="s">
        <v>225</v>
      </c>
      <c r="E110" s="104" t="s">
        <v>19</v>
      </c>
      <c r="F110" s="105" t="s">
        <v>20</v>
      </c>
      <c r="G110" s="106"/>
      <c r="H110" s="107"/>
      <c r="I110" s="107">
        <f>SUM(I111:I114)</f>
        <v>104.08</v>
      </c>
      <c r="J110" s="108">
        <f>SUM(J111:J114)</f>
        <v>139.39000000000001</v>
      </c>
      <c r="K110" s="90">
        <f>TRUNC((J110+I110),2)</f>
        <v>243.47</v>
      </c>
      <c r="L110" s="61">
        <v>292.38</v>
      </c>
    </row>
    <row r="111" spans="1:12" outlineLevel="1">
      <c r="A111" s="113"/>
      <c r="B111" s="85" t="s">
        <v>21</v>
      </c>
      <c r="C111" s="85" t="s">
        <v>65</v>
      </c>
      <c r="D111" s="142" t="s">
        <v>24</v>
      </c>
      <c r="E111" s="85" t="s">
        <v>17</v>
      </c>
      <c r="F111" s="87">
        <v>3.52</v>
      </c>
      <c r="G111" s="88">
        <v>15.92</v>
      </c>
      <c r="H111" s="89"/>
      <c r="I111" s="89">
        <v>0</v>
      </c>
      <c r="J111" s="90">
        <f t="shared" ref="J111:J113" si="26">TRUNC((G111*F111),2)</f>
        <v>56.03</v>
      </c>
      <c r="K111" s="90"/>
    </row>
    <row r="112" spans="1:12" outlineLevel="1">
      <c r="A112" s="113"/>
      <c r="B112" s="85" t="s">
        <v>21</v>
      </c>
      <c r="C112" s="85" t="s">
        <v>64</v>
      </c>
      <c r="D112" s="142" t="s">
        <v>25</v>
      </c>
      <c r="E112" s="85" t="s">
        <v>17</v>
      </c>
      <c r="F112" s="87">
        <v>3.53</v>
      </c>
      <c r="G112" s="88">
        <v>19.7</v>
      </c>
      <c r="H112" s="89"/>
      <c r="I112" s="89">
        <v>0</v>
      </c>
      <c r="J112" s="90">
        <f t="shared" si="26"/>
        <v>69.540000000000006</v>
      </c>
      <c r="K112" s="90"/>
    </row>
    <row r="113" spans="1:11" outlineLevel="1">
      <c r="A113" s="113"/>
      <c r="B113" s="85" t="s">
        <v>21</v>
      </c>
      <c r="C113" s="85" t="s">
        <v>123</v>
      </c>
      <c r="D113" s="142" t="s">
        <v>121</v>
      </c>
      <c r="E113" s="85" t="s">
        <v>17</v>
      </c>
      <c r="F113" s="87">
        <v>0.5</v>
      </c>
      <c r="G113" s="88">
        <v>27.65</v>
      </c>
      <c r="H113" s="89"/>
      <c r="I113" s="89">
        <v>0</v>
      </c>
      <c r="J113" s="90">
        <f t="shared" si="26"/>
        <v>13.82</v>
      </c>
      <c r="K113" s="90"/>
    </row>
    <row r="114" spans="1:11" ht="25.5" outlineLevel="1">
      <c r="A114" s="113"/>
      <c r="B114" s="85" t="s">
        <v>26</v>
      </c>
      <c r="C114" s="85">
        <v>1625</v>
      </c>
      <c r="D114" s="142" t="s">
        <v>224</v>
      </c>
      <c r="E114" s="85" t="s">
        <v>19</v>
      </c>
      <c r="F114" s="87">
        <v>1</v>
      </c>
      <c r="G114" s="88">
        <v>104.08</v>
      </c>
      <c r="H114" s="89"/>
      <c r="I114" s="89">
        <f t="shared" ref="I114" si="27">TRUNC((G114*F114),2)</f>
        <v>104.08</v>
      </c>
      <c r="J114" s="90">
        <v>0</v>
      </c>
      <c r="K114" s="85"/>
    </row>
    <row r="115" spans="1:11" outlineLevel="1">
      <c r="A115" s="113"/>
      <c r="B115" s="96"/>
      <c r="C115" s="96"/>
      <c r="D115" s="149"/>
      <c r="E115" s="96"/>
      <c r="F115" s="98"/>
      <c r="G115" s="99"/>
      <c r="H115" s="100"/>
      <c r="I115" s="100"/>
      <c r="J115" s="101"/>
      <c r="K115" s="96"/>
    </row>
    <row r="116" spans="1:11" ht="25.5" outlineLevel="1">
      <c r="A116" s="139">
        <v>21</v>
      </c>
      <c r="B116" s="104" t="s">
        <v>27</v>
      </c>
      <c r="C116" s="114">
        <v>72344</v>
      </c>
      <c r="D116" s="150" t="s">
        <v>250</v>
      </c>
      <c r="E116" s="104" t="s">
        <v>19</v>
      </c>
      <c r="F116" s="105" t="s">
        <v>20</v>
      </c>
      <c r="G116" s="106"/>
      <c r="H116" s="107"/>
      <c r="I116" s="107">
        <f>SUM(I117:I120)</f>
        <v>221.15</v>
      </c>
      <c r="J116" s="108">
        <f>SUM(J117:J120)</f>
        <v>149.16999999999999</v>
      </c>
      <c r="K116" s="90">
        <f>TRUNC((J116+I116),2)</f>
        <v>370.32</v>
      </c>
    </row>
    <row r="117" spans="1:11" outlineLevel="1">
      <c r="A117" s="113"/>
      <c r="B117" s="85" t="s">
        <v>21</v>
      </c>
      <c r="C117" s="85" t="s">
        <v>65</v>
      </c>
      <c r="D117" s="142" t="s">
        <v>24</v>
      </c>
      <c r="E117" s="85" t="s">
        <v>17</v>
      </c>
      <c r="F117" s="87">
        <v>3.8</v>
      </c>
      <c r="G117" s="88">
        <v>15.92</v>
      </c>
      <c r="H117" s="89"/>
      <c r="I117" s="89">
        <v>0</v>
      </c>
      <c r="J117" s="90">
        <f t="shared" ref="J117:J119" si="28">TRUNC((G117*F117),2)</f>
        <v>60.49</v>
      </c>
      <c r="K117" s="90"/>
    </row>
    <row r="118" spans="1:11" outlineLevel="1">
      <c r="A118" s="113"/>
      <c r="B118" s="85" t="s">
        <v>21</v>
      </c>
      <c r="C118" s="85" t="s">
        <v>64</v>
      </c>
      <c r="D118" s="142" t="s">
        <v>25</v>
      </c>
      <c r="E118" s="85" t="s">
        <v>17</v>
      </c>
      <c r="F118" s="87">
        <v>3.8</v>
      </c>
      <c r="G118" s="88">
        <v>19.7</v>
      </c>
      <c r="H118" s="89"/>
      <c r="I118" s="89">
        <v>0</v>
      </c>
      <c r="J118" s="90">
        <f t="shared" si="28"/>
        <v>74.86</v>
      </c>
      <c r="K118" s="90"/>
    </row>
    <row r="119" spans="1:11" outlineLevel="1">
      <c r="A119" s="113"/>
      <c r="B119" s="85" t="s">
        <v>21</v>
      </c>
      <c r="C119" s="85" t="s">
        <v>123</v>
      </c>
      <c r="D119" s="142" t="s">
        <v>121</v>
      </c>
      <c r="E119" s="85" t="s">
        <v>17</v>
      </c>
      <c r="F119" s="87">
        <v>0.5</v>
      </c>
      <c r="G119" s="88">
        <v>27.65</v>
      </c>
      <c r="H119" s="89"/>
      <c r="I119" s="89">
        <v>0</v>
      </c>
      <c r="J119" s="90">
        <f t="shared" si="28"/>
        <v>13.82</v>
      </c>
      <c r="K119" s="90"/>
    </row>
    <row r="120" spans="1:11" ht="25.5" outlineLevel="1">
      <c r="A120" s="113"/>
      <c r="B120" s="85" t="s">
        <v>26</v>
      </c>
      <c r="C120" s="85">
        <v>1620</v>
      </c>
      <c r="D120" s="142" t="s">
        <v>249</v>
      </c>
      <c r="E120" s="85" t="s">
        <v>19</v>
      </c>
      <c r="F120" s="87">
        <v>1</v>
      </c>
      <c r="G120" s="88">
        <v>221.15</v>
      </c>
      <c r="H120" s="89"/>
      <c r="I120" s="89">
        <f t="shared" ref="I120" si="29">TRUNC((G120*F120),2)</f>
        <v>221.15</v>
      </c>
      <c r="J120" s="90">
        <v>0</v>
      </c>
      <c r="K120" s="85"/>
    </row>
    <row r="121" spans="1:11" outlineLevel="1">
      <c r="A121" s="113"/>
      <c r="B121" s="96"/>
      <c r="C121" s="96"/>
      <c r="D121" s="149"/>
      <c r="E121" s="96"/>
      <c r="F121" s="98"/>
      <c r="G121" s="99"/>
      <c r="H121" s="100"/>
      <c r="I121" s="100"/>
      <c r="J121" s="101"/>
      <c r="K121" s="96"/>
    </row>
    <row r="122" spans="1:11" outlineLevel="1">
      <c r="A122" s="135">
        <v>22</v>
      </c>
      <c r="B122" s="125" t="s">
        <v>27</v>
      </c>
      <c r="C122" s="125" t="s">
        <v>202</v>
      </c>
      <c r="D122" s="154" t="s">
        <v>252</v>
      </c>
      <c r="E122" s="125" t="s">
        <v>19</v>
      </c>
      <c r="F122" s="140" t="s">
        <v>20</v>
      </c>
      <c r="G122" s="106"/>
      <c r="H122" s="130"/>
      <c r="I122" s="131">
        <f>SUM(I123:I124)</f>
        <v>25</v>
      </c>
      <c r="J122" s="132">
        <f>SUM(J123:J124)</f>
        <v>3.94</v>
      </c>
      <c r="K122" s="90">
        <f>TRUNC((J122+I122),2)</f>
        <v>28.94</v>
      </c>
    </row>
    <row r="123" spans="1:11" outlineLevel="1">
      <c r="B123" s="85" t="s">
        <v>21</v>
      </c>
      <c r="C123" s="85" t="s">
        <v>64</v>
      </c>
      <c r="D123" s="143" t="s">
        <v>25</v>
      </c>
      <c r="E123" s="85" t="s">
        <v>17</v>
      </c>
      <c r="F123" s="87">
        <v>0.2</v>
      </c>
      <c r="G123" s="88">
        <v>19.7</v>
      </c>
      <c r="H123" s="89"/>
      <c r="I123" s="89">
        <v>0</v>
      </c>
      <c r="J123" s="90">
        <f t="shared" ref="J123" si="30">TRUNC((G123*F123),2)</f>
        <v>3.94</v>
      </c>
      <c r="K123" s="134"/>
    </row>
    <row r="124" spans="1:11" ht="25.5" outlineLevel="1">
      <c r="B124" s="85" t="s">
        <v>73</v>
      </c>
      <c r="C124" s="85" t="s">
        <v>29</v>
      </c>
      <c r="D124" s="143" t="s">
        <v>253</v>
      </c>
      <c r="E124" s="85" t="s">
        <v>19</v>
      </c>
      <c r="F124" s="87">
        <v>1</v>
      </c>
      <c r="G124" s="88">
        <v>25</v>
      </c>
      <c r="H124" s="134"/>
      <c r="I124" s="89">
        <f t="shared" ref="I124" si="31">TRUNC((G124*F124),2)</f>
        <v>25</v>
      </c>
      <c r="J124" s="90">
        <v>0</v>
      </c>
      <c r="K124" s="134"/>
    </row>
    <row r="125" spans="1:11" outlineLevel="1"/>
    <row r="126" spans="1:11" ht="25.5" outlineLevel="1">
      <c r="A126" s="135">
        <v>23</v>
      </c>
      <c r="B126" s="125" t="s">
        <v>27</v>
      </c>
      <c r="C126" s="125" t="s">
        <v>122</v>
      </c>
      <c r="D126" s="154" t="s">
        <v>148</v>
      </c>
      <c r="E126" s="125" t="s">
        <v>19</v>
      </c>
      <c r="F126" s="140" t="s">
        <v>20</v>
      </c>
      <c r="G126" s="106"/>
      <c r="H126" s="130"/>
      <c r="I126" s="131">
        <f>SUM(I127:I131)</f>
        <v>35.04</v>
      </c>
      <c r="J126" s="132">
        <f>SUM(J127:J131)</f>
        <v>23.67</v>
      </c>
      <c r="K126" s="90">
        <f>TRUNC((J126+I126),2)</f>
        <v>58.71</v>
      </c>
    </row>
    <row r="127" spans="1:11" outlineLevel="1">
      <c r="B127" s="85" t="s">
        <v>21</v>
      </c>
      <c r="C127" s="85" t="s">
        <v>64</v>
      </c>
      <c r="D127" s="143" t="s">
        <v>25</v>
      </c>
      <c r="E127" s="85" t="s">
        <v>17</v>
      </c>
      <c r="F127" s="87">
        <v>0.5</v>
      </c>
      <c r="G127" s="88">
        <v>19.7</v>
      </c>
      <c r="H127" s="134"/>
      <c r="I127" s="89">
        <v>0</v>
      </c>
      <c r="J127" s="90">
        <f t="shared" ref="J127:J128" si="32">TRUNC((G127*F127),2)</f>
        <v>9.85</v>
      </c>
      <c r="K127" s="134"/>
    </row>
    <row r="128" spans="1:11" outlineLevel="1">
      <c r="B128" s="85" t="s">
        <v>21</v>
      </c>
      <c r="C128" s="85">
        <v>88266</v>
      </c>
      <c r="D128" s="142" t="s">
        <v>121</v>
      </c>
      <c r="E128" s="85" t="s">
        <v>17</v>
      </c>
      <c r="F128" s="87">
        <v>0.5</v>
      </c>
      <c r="G128" s="88">
        <v>27.65</v>
      </c>
      <c r="H128" s="134"/>
      <c r="I128" s="89">
        <v>0</v>
      </c>
      <c r="J128" s="90">
        <f t="shared" si="32"/>
        <v>13.82</v>
      </c>
      <c r="K128" s="90"/>
    </row>
    <row r="129" spans="1:12" outlineLevel="1">
      <c r="B129" s="85" t="s">
        <v>26</v>
      </c>
      <c r="C129" s="85">
        <v>13373</v>
      </c>
      <c r="D129" s="143" t="s">
        <v>147</v>
      </c>
      <c r="E129" s="85" t="s">
        <v>19</v>
      </c>
      <c r="F129" s="87">
        <v>1</v>
      </c>
      <c r="G129" s="88">
        <v>32.5</v>
      </c>
      <c r="H129" s="134"/>
      <c r="I129" s="89">
        <f t="shared" ref="I129:I131" si="33">TRUNC((G129*F129),2)</f>
        <v>32.5</v>
      </c>
      <c r="J129" s="90">
        <v>0</v>
      </c>
      <c r="K129" s="134"/>
      <c r="L129" s="61" t="s">
        <v>299</v>
      </c>
    </row>
    <row r="130" spans="1:12" ht="25.5" outlineLevel="1">
      <c r="B130" s="85" t="s">
        <v>26</v>
      </c>
      <c r="C130" s="85">
        <v>1574</v>
      </c>
      <c r="D130" s="143" t="s">
        <v>149</v>
      </c>
      <c r="E130" s="85" t="s">
        <v>19</v>
      </c>
      <c r="F130" s="87">
        <v>2</v>
      </c>
      <c r="G130" s="88">
        <v>0.62</v>
      </c>
      <c r="H130" s="134"/>
      <c r="I130" s="89">
        <f t="shared" si="33"/>
        <v>1.24</v>
      </c>
      <c r="J130" s="90">
        <v>0</v>
      </c>
      <c r="K130" s="134"/>
    </row>
    <row r="131" spans="1:12" outlineLevel="1">
      <c r="B131" s="85" t="s">
        <v>150</v>
      </c>
      <c r="C131" s="85" t="s">
        <v>72</v>
      </c>
      <c r="D131" s="143" t="s">
        <v>151</v>
      </c>
      <c r="E131" s="85" t="s">
        <v>19</v>
      </c>
      <c r="F131" s="87">
        <v>2</v>
      </c>
      <c r="G131" s="88">
        <v>0.65</v>
      </c>
      <c r="H131" s="134"/>
      <c r="I131" s="89">
        <f t="shared" si="33"/>
        <v>1.3</v>
      </c>
      <c r="J131" s="90">
        <v>0</v>
      </c>
      <c r="K131" s="134"/>
    </row>
    <row r="132" spans="1:12" outlineLevel="1">
      <c r="A132" s="113"/>
      <c r="B132" s="96"/>
      <c r="C132" s="96"/>
      <c r="D132" s="149"/>
      <c r="E132" s="96"/>
      <c r="F132" s="98"/>
      <c r="G132" s="99"/>
      <c r="H132" s="100"/>
      <c r="I132" s="100"/>
      <c r="J132" s="101"/>
      <c r="K132" s="96"/>
    </row>
    <row r="133" spans="1:12" ht="25.5" outlineLevel="1">
      <c r="A133" s="139">
        <v>24</v>
      </c>
      <c r="B133" s="104" t="s">
        <v>27</v>
      </c>
      <c r="C133" s="114" t="s">
        <v>174</v>
      </c>
      <c r="D133" s="150" t="s">
        <v>158</v>
      </c>
      <c r="E133" s="104" t="s">
        <v>19</v>
      </c>
      <c r="F133" s="105" t="s">
        <v>20</v>
      </c>
      <c r="G133" s="106"/>
      <c r="H133" s="107"/>
      <c r="I133" s="107">
        <f>SUM(I134:I137)</f>
        <v>63.43</v>
      </c>
      <c r="J133" s="108">
        <f>SUM(J134:J136)</f>
        <v>12.239999999999998</v>
      </c>
      <c r="K133" s="90">
        <f>TRUNC((J133+I133),2)</f>
        <v>75.67</v>
      </c>
      <c r="L133" s="61">
        <v>23.55</v>
      </c>
    </row>
    <row r="134" spans="1:12" outlineLevel="1">
      <c r="A134" s="113"/>
      <c r="B134" s="85" t="s">
        <v>21</v>
      </c>
      <c r="C134" s="85">
        <v>88316</v>
      </c>
      <c r="D134" s="142" t="s">
        <v>23</v>
      </c>
      <c r="E134" s="85" t="s">
        <v>17</v>
      </c>
      <c r="F134" s="87">
        <v>0.35</v>
      </c>
      <c r="G134" s="88">
        <v>15.31</v>
      </c>
      <c r="H134" s="89"/>
      <c r="I134" s="89">
        <v>0</v>
      </c>
      <c r="J134" s="90">
        <f t="shared" ref="J134:J135" si="34">TRUNC((G134*F134),2)</f>
        <v>5.35</v>
      </c>
      <c r="K134" s="90"/>
    </row>
    <row r="135" spans="1:12" outlineLevel="1">
      <c r="A135" s="113"/>
      <c r="B135" s="85" t="s">
        <v>21</v>
      </c>
      <c r="C135" s="85" t="s">
        <v>64</v>
      </c>
      <c r="D135" s="142" t="s">
        <v>25</v>
      </c>
      <c r="E135" s="85" t="s">
        <v>17</v>
      </c>
      <c r="F135" s="87">
        <v>0.35</v>
      </c>
      <c r="G135" s="88">
        <v>19.7</v>
      </c>
      <c r="H135" s="89"/>
      <c r="I135" s="89">
        <v>0</v>
      </c>
      <c r="J135" s="90">
        <f t="shared" si="34"/>
        <v>6.89</v>
      </c>
      <c r="K135" s="90"/>
    </row>
    <row r="136" spans="1:12" outlineLevel="1">
      <c r="A136" s="113"/>
      <c r="B136" s="85" t="s">
        <v>150</v>
      </c>
      <c r="C136" s="85" t="s">
        <v>72</v>
      </c>
      <c r="D136" s="142" t="s">
        <v>159</v>
      </c>
      <c r="E136" s="85" t="s">
        <v>19</v>
      </c>
      <c r="F136" s="87">
        <v>1</v>
      </c>
      <c r="G136" s="88">
        <v>39.9</v>
      </c>
      <c r="H136" s="89"/>
      <c r="I136" s="89">
        <f t="shared" ref="I136:I137" si="35">TRUNC((G136*F136),2)</f>
        <v>39.9</v>
      </c>
      <c r="J136" s="90">
        <v>0</v>
      </c>
      <c r="K136" s="85"/>
      <c r="L136" s="61" t="s">
        <v>300</v>
      </c>
    </row>
    <row r="137" spans="1:12" outlineLevel="1">
      <c r="A137" s="113"/>
      <c r="B137" s="85" t="s">
        <v>150</v>
      </c>
      <c r="C137" s="85" t="s">
        <v>72</v>
      </c>
      <c r="D137" s="143" t="s">
        <v>173</v>
      </c>
      <c r="E137" s="85" t="s">
        <v>19</v>
      </c>
      <c r="F137" s="87">
        <v>1</v>
      </c>
      <c r="G137" s="88">
        <v>23.53</v>
      </c>
      <c r="H137" s="89"/>
      <c r="I137" s="89">
        <f t="shared" si="35"/>
        <v>23.53</v>
      </c>
      <c r="J137" s="90">
        <v>0</v>
      </c>
      <c r="K137" s="134"/>
      <c r="L137" s="61" t="s">
        <v>172</v>
      </c>
    </row>
    <row r="138" spans="1:12" outlineLevel="1">
      <c r="A138" s="113"/>
      <c r="B138" s="96"/>
      <c r="C138" s="96"/>
      <c r="D138" s="155"/>
      <c r="E138" s="96"/>
      <c r="F138" s="98"/>
      <c r="H138" s="138"/>
      <c r="I138" s="100"/>
      <c r="J138" s="101"/>
      <c r="K138" s="138"/>
    </row>
    <row r="139" spans="1:12" ht="25.5" outlineLevel="1">
      <c r="A139" s="139">
        <v>25</v>
      </c>
      <c r="B139" s="104" t="s">
        <v>27</v>
      </c>
      <c r="C139" s="104" t="s">
        <v>213</v>
      </c>
      <c r="D139" s="150" t="s">
        <v>212</v>
      </c>
      <c r="E139" s="104" t="s">
        <v>1</v>
      </c>
      <c r="F139" s="105" t="s">
        <v>20</v>
      </c>
      <c r="G139" s="106"/>
      <c r="H139" s="107"/>
      <c r="I139" s="107">
        <f>SUM(I140:I143)</f>
        <v>6.6499999999999995</v>
      </c>
      <c r="J139" s="108">
        <f>SUM(J140:J143)</f>
        <v>1.4100000000000001</v>
      </c>
      <c r="K139" s="90">
        <f>TRUNC((J139+I139),2)</f>
        <v>8.06</v>
      </c>
    </row>
    <row r="140" spans="1:12" outlineLevel="1">
      <c r="A140" s="113"/>
      <c r="B140" s="85" t="s">
        <v>21</v>
      </c>
      <c r="C140" s="85" t="s">
        <v>65</v>
      </c>
      <c r="D140" s="142" t="s">
        <v>24</v>
      </c>
      <c r="E140" s="85" t="s">
        <v>17</v>
      </c>
      <c r="F140" s="87">
        <v>0.04</v>
      </c>
      <c r="G140" s="88">
        <v>15.92</v>
      </c>
      <c r="H140" s="89"/>
      <c r="I140" s="89">
        <v>0</v>
      </c>
      <c r="J140" s="90">
        <f t="shared" ref="J140:J141" si="36">TRUNC((G140*F140),2)</f>
        <v>0.63</v>
      </c>
      <c r="K140" s="90"/>
    </row>
    <row r="141" spans="1:12" outlineLevel="1">
      <c r="A141" s="113"/>
      <c r="B141" s="85" t="s">
        <v>21</v>
      </c>
      <c r="C141" s="85" t="s">
        <v>64</v>
      </c>
      <c r="D141" s="142" t="s">
        <v>25</v>
      </c>
      <c r="E141" s="85" t="s">
        <v>17</v>
      </c>
      <c r="F141" s="87">
        <v>0.04</v>
      </c>
      <c r="G141" s="88">
        <v>19.7</v>
      </c>
      <c r="H141" s="89"/>
      <c r="I141" s="89">
        <v>0</v>
      </c>
      <c r="J141" s="90">
        <f t="shared" si="36"/>
        <v>0.78</v>
      </c>
      <c r="K141" s="90"/>
    </row>
    <row r="142" spans="1:12" outlineLevel="1">
      <c r="A142" s="113"/>
      <c r="B142" s="85" t="s">
        <v>150</v>
      </c>
      <c r="C142" s="85" t="s">
        <v>29</v>
      </c>
      <c r="D142" s="142" t="s">
        <v>211</v>
      </c>
      <c r="E142" s="85" t="s">
        <v>1</v>
      </c>
      <c r="F142" s="87">
        <v>1</v>
      </c>
      <c r="G142" s="88">
        <v>6.55</v>
      </c>
      <c r="H142" s="89"/>
      <c r="I142" s="89">
        <f t="shared" ref="I142:I143" si="37">TRUNC((G142*F142),2)</f>
        <v>6.55</v>
      </c>
      <c r="J142" s="90">
        <v>0</v>
      </c>
      <c r="K142" s="85"/>
      <c r="L142" s="61" t="s">
        <v>301</v>
      </c>
    </row>
    <row r="143" spans="1:12" ht="25.5" outlineLevel="1">
      <c r="A143" s="113"/>
      <c r="B143" s="85" t="s">
        <v>26</v>
      </c>
      <c r="C143" s="85" t="s">
        <v>69</v>
      </c>
      <c r="D143" s="142" t="s">
        <v>70</v>
      </c>
      <c r="E143" s="85" t="s">
        <v>19</v>
      </c>
      <c r="F143" s="87">
        <v>2.7E-2</v>
      </c>
      <c r="G143" s="88">
        <v>3.76</v>
      </c>
      <c r="H143" s="89"/>
      <c r="I143" s="89">
        <f t="shared" si="37"/>
        <v>0.1</v>
      </c>
      <c r="J143" s="90">
        <v>0</v>
      </c>
      <c r="K143" s="85"/>
    </row>
    <row r="144" spans="1:12" outlineLevel="1">
      <c r="A144" s="113"/>
      <c r="B144" s="113"/>
      <c r="C144" s="113"/>
      <c r="D144" s="153"/>
      <c r="E144" s="113"/>
    </row>
    <row r="145" spans="1:11" ht="38.25" outlineLevel="1">
      <c r="A145" s="139">
        <v>26</v>
      </c>
      <c r="B145" s="104" t="s">
        <v>27</v>
      </c>
      <c r="C145" s="104" t="s">
        <v>124</v>
      </c>
      <c r="D145" s="150" t="s">
        <v>248</v>
      </c>
      <c r="E145" s="104" t="s">
        <v>1</v>
      </c>
      <c r="F145" s="105" t="s">
        <v>20</v>
      </c>
      <c r="G145" s="106"/>
      <c r="H145" s="107"/>
      <c r="I145" s="107">
        <f>SUM(I146:I149)</f>
        <v>2.67</v>
      </c>
      <c r="J145" s="108">
        <f>SUM(J146:J149)</f>
        <v>1.4100000000000001</v>
      </c>
      <c r="K145" s="90">
        <f>TRUNC((J145+I145),2)</f>
        <v>4.08</v>
      </c>
    </row>
    <row r="146" spans="1:11" outlineLevel="1">
      <c r="A146" s="113"/>
      <c r="B146" s="85" t="s">
        <v>21</v>
      </c>
      <c r="C146" s="85" t="s">
        <v>65</v>
      </c>
      <c r="D146" s="142" t="s">
        <v>24</v>
      </c>
      <c r="E146" s="85" t="s">
        <v>17</v>
      </c>
      <c r="F146" s="87">
        <v>0.04</v>
      </c>
      <c r="G146" s="88">
        <v>15.92</v>
      </c>
      <c r="H146" s="89"/>
      <c r="I146" s="89">
        <v>0</v>
      </c>
      <c r="J146" s="90">
        <f t="shared" ref="J146:J147" si="38">TRUNC((G146*F146),2)</f>
        <v>0.63</v>
      </c>
      <c r="K146" s="90"/>
    </row>
    <row r="147" spans="1:11" outlineLevel="1">
      <c r="A147" s="113"/>
      <c r="B147" s="85" t="s">
        <v>21</v>
      </c>
      <c r="C147" s="85" t="s">
        <v>64</v>
      </c>
      <c r="D147" s="142" t="s">
        <v>25</v>
      </c>
      <c r="E147" s="85" t="s">
        <v>17</v>
      </c>
      <c r="F147" s="87">
        <v>0.04</v>
      </c>
      <c r="G147" s="88">
        <v>19.7</v>
      </c>
      <c r="H147" s="89"/>
      <c r="I147" s="89">
        <v>0</v>
      </c>
      <c r="J147" s="90">
        <f t="shared" si="38"/>
        <v>0.78</v>
      </c>
      <c r="K147" s="90"/>
    </row>
    <row r="148" spans="1:11" ht="38.25" outlineLevel="1">
      <c r="A148" s="113"/>
      <c r="B148" s="85" t="s">
        <v>26</v>
      </c>
      <c r="C148" s="85" t="s">
        <v>125</v>
      </c>
      <c r="D148" s="142" t="s">
        <v>126</v>
      </c>
      <c r="E148" s="85" t="s">
        <v>1</v>
      </c>
      <c r="F148" s="87">
        <v>1.19</v>
      </c>
      <c r="G148" s="88">
        <v>2.2200000000000002</v>
      </c>
      <c r="H148" s="89"/>
      <c r="I148" s="89">
        <f t="shared" ref="I148:I149" si="39">TRUNC((G148*F148),2)</f>
        <v>2.64</v>
      </c>
      <c r="J148" s="90">
        <v>0</v>
      </c>
      <c r="K148" s="85"/>
    </row>
    <row r="149" spans="1:11" ht="25.5" outlineLevel="1">
      <c r="A149" s="113"/>
      <c r="B149" s="85" t="s">
        <v>26</v>
      </c>
      <c r="C149" s="85" t="s">
        <v>69</v>
      </c>
      <c r="D149" s="142" t="s">
        <v>70</v>
      </c>
      <c r="E149" s="85" t="s">
        <v>19</v>
      </c>
      <c r="F149" s="87">
        <v>8.9999999999999993E-3</v>
      </c>
      <c r="G149" s="88">
        <v>3.76</v>
      </c>
      <c r="H149" s="89"/>
      <c r="I149" s="89">
        <f t="shared" si="39"/>
        <v>0.03</v>
      </c>
      <c r="J149" s="90">
        <v>0</v>
      </c>
      <c r="K149" s="85"/>
    </row>
    <row r="150" spans="1:11" outlineLevel="1">
      <c r="A150" s="113"/>
      <c r="B150" s="113"/>
      <c r="C150" s="113"/>
      <c r="D150" s="153"/>
      <c r="E150" s="113"/>
    </row>
    <row r="151" spans="1:11" ht="25.5" outlineLevel="1">
      <c r="A151" s="139">
        <v>27</v>
      </c>
      <c r="B151" s="104" t="s">
        <v>27</v>
      </c>
      <c r="C151" s="104" t="s">
        <v>127</v>
      </c>
      <c r="D151" s="150" t="s">
        <v>128</v>
      </c>
      <c r="E151" s="104" t="s">
        <v>1</v>
      </c>
      <c r="F151" s="105" t="s">
        <v>20</v>
      </c>
      <c r="G151" s="106"/>
      <c r="H151" s="107"/>
      <c r="I151" s="107">
        <f>SUM(I152:I155)</f>
        <v>3.63</v>
      </c>
      <c r="J151" s="108">
        <f>SUM(J152:J155)</f>
        <v>1.8399999999999999</v>
      </c>
      <c r="K151" s="90">
        <f>TRUNC((J151+I151),2)</f>
        <v>5.47</v>
      </c>
    </row>
    <row r="152" spans="1:11" outlineLevel="1">
      <c r="A152" s="113"/>
      <c r="B152" s="85" t="s">
        <v>21</v>
      </c>
      <c r="C152" s="85" t="s">
        <v>65</v>
      </c>
      <c r="D152" s="142" t="s">
        <v>24</v>
      </c>
      <c r="E152" s="85" t="s">
        <v>17</v>
      </c>
      <c r="F152" s="87">
        <v>5.1999999999999998E-2</v>
      </c>
      <c r="G152" s="88">
        <v>15.92</v>
      </c>
      <c r="H152" s="89"/>
      <c r="I152" s="89">
        <v>0</v>
      </c>
      <c r="J152" s="90">
        <f t="shared" ref="J152:J153" si="40">TRUNC((G152*F152),2)</f>
        <v>0.82</v>
      </c>
      <c r="K152" s="90"/>
    </row>
    <row r="153" spans="1:11" outlineLevel="1">
      <c r="A153" s="113"/>
      <c r="B153" s="85" t="s">
        <v>21</v>
      </c>
      <c r="C153" s="85" t="s">
        <v>64</v>
      </c>
      <c r="D153" s="142" t="s">
        <v>25</v>
      </c>
      <c r="E153" s="85" t="s">
        <v>17</v>
      </c>
      <c r="F153" s="87">
        <v>5.1999999999999998E-2</v>
      </c>
      <c r="G153" s="88">
        <v>19.7</v>
      </c>
      <c r="H153" s="89"/>
      <c r="I153" s="89">
        <v>0</v>
      </c>
      <c r="J153" s="90">
        <f t="shared" si="40"/>
        <v>1.02</v>
      </c>
      <c r="K153" s="90"/>
    </row>
    <row r="154" spans="1:11" ht="38.25" outlineLevel="1">
      <c r="A154" s="113"/>
      <c r="B154" s="85" t="s">
        <v>26</v>
      </c>
      <c r="C154" s="85" t="s">
        <v>129</v>
      </c>
      <c r="D154" s="142" t="s">
        <v>130</v>
      </c>
      <c r="E154" s="85" t="s">
        <v>1</v>
      </c>
      <c r="F154" s="87">
        <v>1.19</v>
      </c>
      <c r="G154" s="88">
        <v>3.03</v>
      </c>
      <c r="H154" s="89"/>
      <c r="I154" s="89">
        <f t="shared" ref="I154:I155" si="41">TRUNC((G154*F154),2)</f>
        <v>3.6</v>
      </c>
      <c r="J154" s="90">
        <v>0</v>
      </c>
      <c r="K154" s="85"/>
    </row>
    <row r="155" spans="1:11" ht="25.5" outlineLevel="1">
      <c r="A155" s="113"/>
      <c r="B155" s="85" t="s">
        <v>26</v>
      </c>
      <c r="C155" s="85" t="s">
        <v>69</v>
      </c>
      <c r="D155" s="142" t="s">
        <v>70</v>
      </c>
      <c r="E155" s="85" t="s">
        <v>19</v>
      </c>
      <c r="F155" s="87">
        <v>8.9999999999999993E-3</v>
      </c>
      <c r="G155" s="88">
        <v>3.76</v>
      </c>
      <c r="H155" s="89"/>
      <c r="I155" s="89">
        <f t="shared" si="41"/>
        <v>0.03</v>
      </c>
      <c r="J155" s="90">
        <v>0</v>
      </c>
      <c r="K155" s="85"/>
    </row>
    <row r="156" spans="1:11" outlineLevel="1">
      <c r="A156" s="113"/>
      <c r="B156" s="113"/>
      <c r="C156" s="113"/>
      <c r="D156" s="153"/>
      <c r="E156" s="113"/>
    </row>
    <row r="157" spans="1:11" ht="25.5" outlineLevel="1">
      <c r="A157" s="139">
        <v>28</v>
      </c>
      <c r="B157" s="104" t="s">
        <v>27</v>
      </c>
      <c r="C157" s="104" t="s">
        <v>131</v>
      </c>
      <c r="D157" s="150" t="s">
        <v>132</v>
      </c>
      <c r="E157" s="104" t="s">
        <v>1</v>
      </c>
      <c r="F157" s="105" t="s">
        <v>20</v>
      </c>
      <c r="G157" s="106"/>
      <c r="H157" s="107"/>
      <c r="I157" s="107">
        <f>SUM(I158:I161)</f>
        <v>5.8100000000000005</v>
      </c>
      <c r="J157" s="108">
        <f>SUM(J158:J161)</f>
        <v>2.73</v>
      </c>
      <c r="K157" s="90">
        <f>TRUNC((J157+I157),2)</f>
        <v>8.5399999999999991</v>
      </c>
    </row>
    <row r="158" spans="1:11" outlineLevel="1">
      <c r="A158" s="113"/>
      <c r="B158" s="85" t="s">
        <v>21</v>
      </c>
      <c r="C158" s="85" t="s">
        <v>65</v>
      </c>
      <c r="D158" s="142" t="s">
        <v>24</v>
      </c>
      <c r="E158" s="85" t="s">
        <v>17</v>
      </c>
      <c r="F158" s="87">
        <v>7.6999999999999999E-2</v>
      </c>
      <c r="G158" s="88">
        <v>15.92</v>
      </c>
      <c r="H158" s="89"/>
      <c r="I158" s="89">
        <v>0</v>
      </c>
      <c r="J158" s="90">
        <f t="shared" ref="J158:J159" si="42">TRUNC((G158*F158),2)</f>
        <v>1.22</v>
      </c>
      <c r="K158" s="90"/>
    </row>
    <row r="159" spans="1:11" outlineLevel="1">
      <c r="A159" s="113"/>
      <c r="B159" s="85" t="s">
        <v>21</v>
      </c>
      <c r="C159" s="85" t="s">
        <v>64</v>
      </c>
      <c r="D159" s="142" t="s">
        <v>25</v>
      </c>
      <c r="E159" s="85" t="s">
        <v>17</v>
      </c>
      <c r="F159" s="87">
        <v>7.6999999999999999E-2</v>
      </c>
      <c r="G159" s="88">
        <v>19.7</v>
      </c>
      <c r="H159" s="89"/>
      <c r="I159" s="89">
        <v>0</v>
      </c>
      <c r="J159" s="90">
        <f t="shared" si="42"/>
        <v>1.51</v>
      </c>
      <c r="K159" s="90"/>
    </row>
    <row r="160" spans="1:11" ht="25.5" outlineLevel="1">
      <c r="A160" s="113"/>
      <c r="B160" s="85" t="s">
        <v>26</v>
      </c>
      <c r="C160" s="85" t="s">
        <v>133</v>
      </c>
      <c r="D160" s="142" t="s">
        <v>134</v>
      </c>
      <c r="E160" s="85" t="s">
        <v>1</v>
      </c>
      <c r="F160" s="87">
        <v>1.19</v>
      </c>
      <c r="G160" s="88">
        <v>4.8600000000000003</v>
      </c>
      <c r="H160" s="89"/>
      <c r="I160" s="89">
        <f t="shared" ref="I160:I161" si="43">TRUNC((G160*F160),2)</f>
        <v>5.78</v>
      </c>
      <c r="J160" s="90">
        <v>0</v>
      </c>
      <c r="K160" s="85"/>
    </row>
    <row r="161" spans="1:11" ht="25.5" outlineLevel="1">
      <c r="A161" s="113"/>
      <c r="B161" s="85" t="s">
        <v>26</v>
      </c>
      <c r="C161" s="85" t="s">
        <v>69</v>
      </c>
      <c r="D161" s="142" t="s">
        <v>70</v>
      </c>
      <c r="E161" s="85" t="s">
        <v>19</v>
      </c>
      <c r="F161" s="87">
        <v>8.9999999999999993E-3</v>
      </c>
      <c r="G161" s="88">
        <v>3.76</v>
      </c>
      <c r="H161" s="89"/>
      <c r="I161" s="89">
        <f t="shared" si="43"/>
        <v>0.03</v>
      </c>
      <c r="J161" s="90">
        <v>0</v>
      </c>
      <c r="K161" s="85"/>
    </row>
    <row r="162" spans="1:11" outlineLevel="1">
      <c r="A162" s="113"/>
      <c r="B162" s="113"/>
      <c r="C162" s="113"/>
      <c r="D162" s="153"/>
      <c r="E162" s="113"/>
    </row>
    <row r="163" spans="1:11" ht="25.5" outlineLevel="1">
      <c r="A163" s="139">
        <v>29</v>
      </c>
      <c r="B163" s="104" t="s">
        <v>27</v>
      </c>
      <c r="C163" s="114">
        <v>92982</v>
      </c>
      <c r="D163" s="150" t="s">
        <v>240</v>
      </c>
      <c r="E163" s="104" t="s">
        <v>1</v>
      </c>
      <c r="F163" s="105" t="s">
        <v>20</v>
      </c>
      <c r="G163" s="106"/>
      <c r="H163" s="107"/>
      <c r="I163" s="107">
        <f>SUM(I164:I167)</f>
        <v>7.69</v>
      </c>
      <c r="J163" s="108">
        <f>SUM(J164:J167)</f>
        <v>0.45</v>
      </c>
      <c r="K163" s="90">
        <f>TRUNC((J163+I163),2)</f>
        <v>8.14</v>
      </c>
    </row>
    <row r="164" spans="1:11" outlineLevel="1">
      <c r="A164" s="113"/>
      <c r="B164" s="85" t="s">
        <v>21</v>
      </c>
      <c r="C164" s="85" t="s">
        <v>65</v>
      </c>
      <c r="D164" s="142" t="s">
        <v>24</v>
      </c>
      <c r="E164" s="85" t="s">
        <v>17</v>
      </c>
      <c r="F164" s="87">
        <v>1.2999999999999999E-2</v>
      </c>
      <c r="G164" s="88">
        <v>15.92</v>
      </c>
      <c r="H164" s="89"/>
      <c r="I164" s="89">
        <v>0</v>
      </c>
      <c r="J164" s="90">
        <f t="shared" ref="J164:J165" si="44">TRUNC((G164*F164),2)</f>
        <v>0.2</v>
      </c>
      <c r="K164" s="90"/>
    </row>
    <row r="165" spans="1:11" outlineLevel="1">
      <c r="A165" s="113"/>
      <c r="B165" s="85" t="s">
        <v>21</v>
      </c>
      <c r="C165" s="85" t="s">
        <v>64</v>
      </c>
      <c r="D165" s="142" t="s">
        <v>25</v>
      </c>
      <c r="E165" s="85" t="s">
        <v>17</v>
      </c>
      <c r="F165" s="87">
        <v>1.2999999999999999E-2</v>
      </c>
      <c r="G165" s="88">
        <v>19.7</v>
      </c>
      <c r="H165" s="89"/>
      <c r="I165" s="89">
        <v>0</v>
      </c>
      <c r="J165" s="90">
        <f t="shared" si="44"/>
        <v>0.25</v>
      </c>
      <c r="K165" s="90"/>
    </row>
    <row r="166" spans="1:11" ht="38.25" outlineLevel="1">
      <c r="A166" s="113"/>
      <c r="B166" s="85" t="s">
        <v>26</v>
      </c>
      <c r="C166" s="85">
        <v>995</v>
      </c>
      <c r="D166" s="142" t="s">
        <v>241</v>
      </c>
      <c r="E166" s="85" t="s">
        <v>1</v>
      </c>
      <c r="F166" s="87">
        <v>1.0269999999999999</v>
      </c>
      <c r="G166" s="88">
        <v>7.46</v>
      </c>
      <c r="H166" s="89"/>
      <c r="I166" s="89">
        <f t="shared" ref="I166:I167" si="45">TRUNC((G166*F166),2)</f>
        <v>7.66</v>
      </c>
      <c r="J166" s="90">
        <v>0</v>
      </c>
      <c r="K166" s="85"/>
    </row>
    <row r="167" spans="1:11" ht="25.5" outlineLevel="1">
      <c r="A167" s="113"/>
      <c r="B167" s="85" t="s">
        <v>26</v>
      </c>
      <c r="C167" s="85" t="s">
        <v>69</v>
      </c>
      <c r="D167" s="142" t="s">
        <v>70</v>
      </c>
      <c r="E167" s="85" t="s">
        <v>19</v>
      </c>
      <c r="F167" s="87">
        <v>0.01</v>
      </c>
      <c r="G167" s="88">
        <v>3.76</v>
      </c>
      <c r="H167" s="89"/>
      <c r="I167" s="89">
        <f t="shared" si="45"/>
        <v>0.03</v>
      </c>
      <c r="J167" s="90">
        <v>0</v>
      </c>
      <c r="K167" s="85"/>
    </row>
    <row r="168" spans="1:11" outlineLevel="1">
      <c r="A168" s="113"/>
      <c r="B168" s="113"/>
      <c r="C168" s="113"/>
      <c r="D168" s="153"/>
      <c r="E168" s="113"/>
    </row>
    <row r="169" spans="1:11" ht="25.5" outlineLevel="1">
      <c r="A169" s="139">
        <v>30</v>
      </c>
      <c r="B169" s="104" t="s">
        <v>27</v>
      </c>
      <c r="C169" s="114">
        <v>92984</v>
      </c>
      <c r="D169" s="150" t="s">
        <v>242</v>
      </c>
      <c r="E169" s="104" t="s">
        <v>1</v>
      </c>
      <c r="F169" s="105" t="s">
        <v>20</v>
      </c>
      <c r="G169" s="106"/>
      <c r="H169" s="107"/>
      <c r="I169" s="107">
        <f>SUM(I170:I173)</f>
        <v>11.559999999999999</v>
      </c>
      <c r="J169" s="108">
        <f>SUM(J170:J173)</f>
        <v>2.27</v>
      </c>
      <c r="K169" s="90">
        <f>TRUNC((J169+I169),2)</f>
        <v>13.83</v>
      </c>
    </row>
    <row r="170" spans="1:11" outlineLevel="1">
      <c r="A170" s="113"/>
      <c r="B170" s="85" t="s">
        <v>21</v>
      </c>
      <c r="C170" s="85" t="s">
        <v>65</v>
      </c>
      <c r="D170" s="142" t="s">
        <v>24</v>
      </c>
      <c r="E170" s="85" t="s">
        <v>17</v>
      </c>
      <c r="F170" s="87">
        <v>6.4000000000000001E-2</v>
      </c>
      <c r="G170" s="88">
        <v>15.92</v>
      </c>
      <c r="H170" s="89"/>
      <c r="I170" s="89">
        <v>0</v>
      </c>
      <c r="J170" s="90">
        <f t="shared" ref="J170:J171" si="46">TRUNC((G170*F170),2)</f>
        <v>1.01</v>
      </c>
      <c r="K170" s="90"/>
    </row>
    <row r="171" spans="1:11" outlineLevel="1">
      <c r="A171" s="113"/>
      <c r="B171" s="85" t="s">
        <v>21</v>
      </c>
      <c r="C171" s="85" t="s">
        <v>64</v>
      </c>
      <c r="D171" s="142" t="s">
        <v>25</v>
      </c>
      <c r="E171" s="85" t="s">
        <v>17</v>
      </c>
      <c r="F171" s="87">
        <v>6.4000000000000001E-2</v>
      </c>
      <c r="G171" s="88">
        <v>19.7</v>
      </c>
      <c r="H171" s="89"/>
      <c r="I171" s="89">
        <v>0</v>
      </c>
      <c r="J171" s="90">
        <f t="shared" si="46"/>
        <v>1.26</v>
      </c>
      <c r="K171" s="90"/>
    </row>
    <row r="172" spans="1:11" ht="38.25" outlineLevel="1">
      <c r="A172" s="113"/>
      <c r="B172" s="85" t="s">
        <v>26</v>
      </c>
      <c r="C172" s="85">
        <v>996</v>
      </c>
      <c r="D172" s="142" t="s">
        <v>243</v>
      </c>
      <c r="E172" s="85" t="s">
        <v>1</v>
      </c>
      <c r="F172" s="87">
        <v>1.0149999999999999</v>
      </c>
      <c r="G172" s="88">
        <v>11.36</v>
      </c>
      <c r="H172" s="89"/>
      <c r="I172" s="89">
        <f t="shared" ref="I172:I173" si="47">TRUNC((G172*F172),2)</f>
        <v>11.53</v>
      </c>
      <c r="J172" s="90">
        <v>0</v>
      </c>
      <c r="K172" s="85"/>
    </row>
    <row r="173" spans="1:11" ht="25.5" outlineLevel="1">
      <c r="A173" s="113"/>
      <c r="B173" s="85" t="s">
        <v>26</v>
      </c>
      <c r="C173" s="85" t="s">
        <v>69</v>
      </c>
      <c r="D173" s="142" t="s">
        <v>70</v>
      </c>
      <c r="E173" s="85" t="s">
        <v>19</v>
      </c>
      <c r="F173" s="87">
        <v>8.9999999999999993E-3</v>
      </c>
      <c r="G173" s="88">
        <v>3.76</v>
      </c>
      <c r="H173" s="89"/>
      <c r="I173" s="89">
        <f t="shared" si="47"/>
        <v>0.03</v>
      </c>
      <c r="J173" s="90">
        <v>0</v>
      </c>
      <c r="K173" s="85"/>
    </row>
    <row r="174" spans="1:11" outlineLevel="1">
      <c r="A174" s="113"/>
      <c r="B174" s="113"/>
      <c r="C174" s="113"/>
      <c r="D174" s="153"/>
      <c r="E174" s="113"/>
    </row>
    <row r="175" spans="1:11" ht="25.5" outlineLevel="1">
      <c r="A175" s="139">
        <v>31</v>
      </c>
      <c r="B175" s="104" t="s">
        <v>27</v>
      </c>
      <c r="C175" s="114">
        <v>92986</v>
      </c>
      <c r="D175" s="150" t="s">
        <v>244</v>
      </c>
      <c r="E175" s="104" t="s">
        <v>1</v>
      </c>
      <c r="F175" s="105" t="s">
        <v>20</v>
      </c>
      <c r="G175" s="106"/>
      <c r="H175" s="107"/>
      <c r="I175" s="107">
        <f>SUM(I176:I179)</f>
        <v>15.93</v>
      </c>
      <c r="J175" s="108">
        <f>SUM(J176:J179)</f>
        <v>2.59</v>
      </c>
      <c r="K175" s="90">
        <f>TRUNC((J175+I175),2)</f>
        <v>18.52</v>
      </c>
    </row>
    <row r="176" spans="1:11" outlineLevel="1">
      <c r="A176" s="113"/>
      <c r="B176" s="85" t="s">
        <v>21</v>
      </c>
      <c r="C176" s="85" t="s">
        <v>65</v>
      </c>
      <c r="D176" s="142" t="s">
        <v>24</v>
      </c>
      <c r="E176" s="85" t="s">
        <v>17</v>
      </c>
      <c r="F176" s="87">
        <v>7.2999999999999995E-2</v>
      </c>
      <c r="G176" s="88">
        <v>15.92</v>
      </c>
      <c r="H176" s="89"/>
      <c r="I176" s="89">
        <v>0</v>
      </c>
      <c r="J176" s="90">
        <f t="shared" ref="J176:J177" si="48">TRUNC((G176*F176),2)</f>
        <v>1.1599999999999999</v>
      </c>
      <c r="K176" s="90"/>
    </row>
    <row r="177" spans="1:15" outlineLevel="1">
      <c r="A177" s="113"/>
      <c r="B177" s="85" t="s">
        <v>21</v>
      </c>
      <c r="C177" s="85" t="s">
        <v>64</v>
      </c>
      <c r="D177" s="142" t="s">
        <v>25</v>
      </c>
      <c r="E177" s="85" t="s">
        <v>17</v>
      </c>
      <c r="F177" s="87">
        <v>7.2999999999999995E-2</v>
      </c>
      <c r="G177" s="88">
        <v>19.7</v>
      </c>
      <c r="H177" s="89"/>
      <c r="I177" s="89">
        <v>0</v>
      </c>
      <c r="J177" s="90">
        <f t="shared" si="48"/>
        <v>1.43</v>
      </c>
      <c r="K177" s="90"/>
    </row>
    <row r="178" spans="1:15" ht="38.25" outlineLevel="1">
      <c r="A178" s="113"/>
      <c r="B178" s="85" t="s">
        <v>26</v>
      </c>
      <c r="C178" s="85">
        <v>1019</v>
      </c>
      <c r="D178" s="142" t="s">
        <v>245</v>
      </c>
      <c r="E178" s="85" t="s">
        <v>1</v>
      </c>
      <c r="F178" s="87">
        <v>1.0149999999999999</v>
      </c>
      <c r="G178" s="88">
        <v>15.67</v>
      </c>
      <c r="H178" s="89"/>
      <c r="I178" s="89">
        <f t="shared" ref="I178:I179" si="49">TRUNC((G178*F178),2)</f>
        <v>15.9</v>
      </c>
      <c r="J178" s="90">
        <v>0</v>
      </c>
      <c r="K178" s="85"/>
    </row>
    <row r="179" spans="1:15" ht="25.5" outlineLevel="1">
      <c r="A179" s="113"/>
      <c r="B179" s="85" t="s">
        <v>26</v>
      </c>
      <c r="C179" s="85" t="s">
        <v>69</v>
      </c>
      <c r="D179" s="142" t="s">
        <v>70</v>
      </c>
      <c r="E179" s="85" t="s">
        <v>19</v>
      </c>
      <c r="F179" s="87">
        <v>8.9999999999999993E-3</v>
      </c>
      <c r="G179" s="88">
        <v>3.76</v>
      </c>
      <c r="H179" s="89"/>
      <c r="I179" s="89">
        <f t="shared" si="49"/>
        <v>0.03</v>
      </c>
      <c r="J179" s="90">
        <v>0</v>
      </c>
      <c r="K179" s="85"/>
    </row>
    <row r="180" spans="1:15" outlineLevel="1">
      <c r="A180" s="113"/>
      <c r="B180" s="113"/>
      <c r="C180" s="113"/>
      <c r="D180" s="153"/>
      <c r="E180" s="113"/>
    </row>
    <row r="181" spans="1:15" ht="89.25" outlineLevel="1">
      <c r="A181" s="84">
        <v>32</v>
      </c>
      <c r="B181" s="125" t="s">
        <v>27</v>
      </c>
      <c r="C181" s="126" t="s">
        <v>167</v>
      </c>
      <c r="D181" s="154" t="s">
        <v>322</v>
      </c>
      <c r="E181" s="85" t="s">
        <v>19</v>
      </c>
      <c r="F181" s="128"/>
      <c r="G181" s="129"/>
      <c r="H181" s="130"/>
      <c r="I181" s="107">
        <f>SUM(I182:I187)</f>
        <v>2978.3</v>
      </c>
      <c r="J181" s="108">
        <f>SUM(J182:J187)</f>
        <v>82.75</v>
      </c>
      <c r="K181" s="90">
        <f>TRUNC((J181+I181),2)</f>
        <v>3061.05</v>
      </c>
      <c r="L181" s="61" t="s">
        <v>306</v>
      </c>
      <c r="M181" s="61" t="s">
        <v>307</v>
      </c>
      <c r="N181" s="61" t="s">
        <v>308</v>
      </c>
    </row>
    <row r="182" spans="1:15" ht="51" outlineLevel="1">
      <c r="A182" s="92"/>
      <c r="B182" s="86" t="s">
        <v>21</v>
      </c>
      <c r="C182" s="133" t="s">
        <v>232</v>
      </c>
      <c r="D182" s="299" t="s">
        <v>233</v>
      </c>
      <c r="E182" s="122" t="s">
        <v>22</v>
      </c>
      <c r="F182" s="300">
        <v>0.8</v>
      </c>
      <c r="G182" s="103">
        <v>102.17</v>
      </c>
      <c r="H182" s="89"/>
      <c r="I182" s="89">
        <f t="shared" ref="I182" si="50">TRUNC((G182*F182),2)</f>
        <v>81.73</v>
      </c>
      <c r="J182" s="90">
        <v>0</v>
      </c>
      <c r="K182" s="90"/>
      <c r="L182" s="61">
        <f>4172.33*1.1</f>
        <v>4589.5630000000001</v>
      </c>
      <c r="M182" s="61">
        <f>2205*1.15</f>
        <v>2535.75</v>
      </c>
      <c r="N182" s="321">
        <f>(M182+L182)/2</f>
        <v>3562.6565000000001</v>
      </c>
      <c r="O182" s="61">
        <f>(L182+M182+N182)/3</f>
        <v>3562.6564999999996</v>
      </c>
    </row>
    <row r="183" spans="1:15" outlineLevel="1">
      <c r="A183" s="92"/>
      <c r="B183" s="86" t="s">
        <v>21</v>
      </c>
      <c r="C183" s="86">
        <v>88286</v>
      </c>
      <c r="D183" s="142" t="s">
        <v>68</v>
      </c>
      <c r="E183" s="85" t="s">
        <v>17</v>
      </c>
      <c r="F183" s="87">
        <v>0.8</v>
      </c>
      <c r="G183" s="88">
        <v>16.48</v>
      </c>
      <c r="H183" s="89"/>
      <c r="I183" s="89">
        <v>0</v>
      </c>
      <c r="J183" s="90">
        <f t="shared" ref="J183:J185" si="51">TRUNC((G183*F183),2)</f>
        <v>13.18</v>
      </c>
      <c r="K183" s="90"/>
      <c r="L183" s="61">
        <f>4172.33*1.1</f>
        <v>4589.5630000000001</v>
      </c>
      <c r="M183" s="61">
        <f>2205*1.15</f>
        <v>2535.75</v>
      </c>
      <c r="N183" s="321">
        <f>3097.95*1.15</f>
        <v>3562.6424999999995</v>
      </c>
      <c r="O183" s="322">
        <f>(L183+M183+N183)/3</f>
        <v>3562.6518333333333</v>
      </c>
    </row>
    <row r="184" spans="1:15" outlineLevel="1">
      <c r="A184" s="92"/>
      <c r="B184" s="85" t="s">
        <v>21</v>
      </c>
      <c r="C184" s="133" t="s">
        <v>64</v>
      </c>
      <c r="D184" s="143" t="s">
        <v>25</v>
      </c>
      <c r="E184" s="122" t="s">
        <v>17</v>
      </c>
      <c r="F184" s="123">
        <v>1.2</v>
      </c>
      <c r="G184" s="124">
        <v>19.7</v>
      </c>
      <c r="H184" s="134"/>
      <c r="I184" s="89">
        <v>0</v>
      </c>
      <c r="J184" s="90">
        <f t="shared" si="51"/>
        <v>23.64</v>
      </c>
      <c r="K184" s="134"/>
      <c r="O184" s="61">
        <f>O182-O183</f>
        <v>4.6666666662531497E-3</v>
      </c>
    </row>
    <row r="185" spans="1:15" outlineLevel="1">
      <c r="A185" s="92"/>
      <c r="B185" s="85" t="s">
        <v>21</v>
      </c>
      <c r="C185" s="133" t="s">
        <v>66</v>
      </c>
      <c r="D185" s="143" t="s">
        <v>23</v>
      </c>
      <c r="E185" s="122" t="s">
        <v>17</v>
      </c>
      <c r="F185" s="123">
        <v>3</v>
      </c>
      <c r="G185" s="124">
        <v>15.31</v>
      </c>
      <c r="H185" s="134"/>
      <c r="I185" s="89">
        <v>0</v>
      </c>
      <c r="J185" s="90">
        <f t="shared" si="51"/>
        <v>45.93</v>
      </c>
      <c r="K185" s="134"/>
    </row>
    <row r="186" spans="1:15" ht="33" customHeight="1" outlineLevel="1">
      <c r="A186" s="92"/>
      <c r="B186" s="85" t="s">
        <v>21</v>
      </c>
      <c r="C186" s="104" t="s">
        <v>94</v>
      </c>
      <c r="D186" s="150" t="s">
        <v>95</v>
      </c>
      <c r="E186" s="122" t="s">
        <v>86</v>
      </c>
      <c r="F186" s="123">
        <v>0.09</v>
      </c>
      <c r="G186" s="124">
        <v>507.99</v>
      </c>
      <c r="H186" s="134"/>
      <c r="I186" s="89">
        <f t="shared" ref="I186:I187" si="52">TRUNC((G186*F186),2)</f>
        <v>45.71</v>
      </c>
      <c r="J186" s="90">
        <v>0</v>
      </c>
      <c r="K186" s="134"/>
      <c r="M186" s="61">
        <f>2760*1.15</f>
        <v>3173.9999999999995</v>
      </c>
    </row>
    <row r="187" spans="1:15" ht="76.5" outlineLevel="1">
      <c r="A187" s="92"/>
      <c r="B187" s="85" t="s">
        <v>99</v>
      </c>
      <c r="C187" s="133" t="s">
        <v>29</v>
      </c>
      <c r="D187" s="143" t="s">
        <v>323</v>
      </c>
      <c r="E187" s="122" t="s">
        <v>19</v>
      </c>
      <c r="F187" s="123">
        <v>1</v>
      </c>
      <c r="G187" s="124">
        <v>2850.86</v>
      </c>
      <c r="H187" s="134"/>
      <c r="I187" s="89">
        <f t="shared" si="52"/>
        <v>2850.86</v>
      </c>
      <c r="J187" s="90">
        <v>0</v>
      </c>
      <c r="K187" s="134"/>
      <c r="L187" s="113">
        <f>H187-45.04</f>
        <v>-45.04</v>
      </c>
    </row>
    <row r="188" spans="1:15" outlineLevel="1">
      <c r="A188" s="95"/>
      <c r="B188" s="96"/>
      <c r="C188" s="136"/>
      <c r="D188" s="155"/>
      <c r="E188" s="115"/>
      <c r="F188" s="137"/>
      <c r="G188" s="141"/>
      <c r="H188" s="138"/>
      <c r="I188" s="100"/>
      <c r="J188" s="101"/>
      <c r="K188" s="138"/>
    </row>
    <row r="189" spans="1:15" ht="127.5" outlineLevel="1">
      <c r="A189" s="139">
        <v>33</v>
      </c>
      <c r="B189" s="122" t="s">
        <v>27</v>
      </c>
      <c r="C189" s="133" t="s">
        <v>175</v>
      </c>
      <c r="D189" s="143" t="s">
        <v>345</v>
      </c>
      <c r="E189" s="122" t="s">
        <v>19</v>
      </c>
      <c r="F189" s="123" t="s">
        <v>20</v>
      </c>
      <c r="G189" s="124"/>
      <c r="H189" s="102"/>
      <c r="I189" s="131">
        <f>SUM(I190:I194)</f>
        <v>1757.17</v>
      </c>
      <c r="J189" s="132">
        <f>SUM(J190:J194)</f>
        <v>50.32</v>
      </c>
      <c r="K189" s="90">
        <f>TRUNC((J189+I189),2)</f>
        <v>1807.49</v>
      </c>
      <c r="L189" s="61" t="s">
        <v>310</v>
      </c>
      <c r="M189" s="61" t="s">
        <v>309</v>
      </c>
      <c r="N189" s="61" t="s">
        <v>318</v>
      </c>
    </row>
    <row r="190" spans="1:15" outlineLevel="1">
      <c r="A190" s="92"/>
      <c r="B190" s="122" t="s">
        <v>21</v>
      </c>
      <c r="C190" s="122" t="s">
        <v>64</v>
      </c>
      <c r="D190" s="143" t="s">
        <v>25</v>
      </c>
      <c r="E190" s="122" t="s">
        <v>17</v>
      </c>
      <c r="F190" s="123">
        <v>1</v>
      </c>
      <c r="G190" s="124">
        <v>19.7</v>
      </c>
      <c r="H190" s="102"/>
      <c r="I190" s="102">
        <v>0</v>
      </c>
      <c r="J190" s="90">
        <f t="shared" ref="J190:J192" si="53">TRUNC((G190*F190),2)</f>
        <v>19.7</v>
      </c>
      <c r="K190" s="103"/>
      <c r="L190" s="61">
        <f>1262.7*1.1</f>
        <v>1388.9700000000003</v>
      </c>
      <c r="M190" s="321">
        <f>1084.29*1.15</f>
        <v>1246.9334999999999</v>
      </c>
      <c r="N190" s="321">
        <f>1136.3*1.15987</f>
        <v>1317.9602809999999</v>
      </c>
    </row>
    <row r="191" spans="1:15" outlineLevel="1">
      <c r="A191" s="92"/>
      <c r="B191" s="122" t="s">
        <v>21</v>
      </c>
      <c r="C191" s="122" t="s">
        <v>66</v>
      </c>
      <c r="D191" s="143" t="s">
        <v>23</v>
      </c>
      <c r="E191" s="122" t="s">
        <v>17</v>
      </c>
      <c r="F191" s="123">
        <v>1</v>
      </c>
      <c r="G191" s="124">
        <v>15.31</v>
      </c>
      <c r="H191" s="102"/>
      <c r="I191" s="102">
        <v>0</v>
      </c>
      <c r="J191" s="90">
        <f t="shared" si="53"/>
        <v>15.31</v>
      </c>
      <c r="K191" s="103"/>
      <c r="M191" s="61">
        <f>(M190+L190)/2</f>
        <v>1317.9517500000002</v>
      </c>
      <c r="O191" s="61">
        <f>(M191+L191+N191)/3</f>
        <v>439.31725000000006</v>
      </c>
    </row>
    <row r="192" spans="1:15" outlineLevel="1">
      <c r="A192" s="92"/>
      <c r="B192" s="122" t="s">
        <v>21</v>
      </c>
      <c r="C192" s="86">
        <v>88286</v>
      </c>
      <c r="D192" s="143" t="s">
        <v>327</v>
      </c>
      <c r="E192" s="122" t="s">
        <v>17</v>
      </c>
      <c r="F192" s="123">
        <v>1</v>
      </c>
      <c r="G192" s="124">
        <v>15.31</v>
      </c>
      <c r="H192" s="102"/>
      <c r="I192" s="102">
        <v>0</v>
      </c>
      <c r="J192" s="90">
        <f t="shared" si="53"/>
        <v>15.31</v>
      </c>
      <c r="K192" s="103"/>
      <c r="L192" s="61">
        <f>1984.7-90</f>
        <v>1894.7</v>
      </c>
    </row>
    <row r="193" spans="1:17" ht="51" outlineLevel="1">
      <c r="A193" s="92"/>
      <c r="B193" s="122" t="s">
        <v>21</v>
      </c>
      <c r="C193" s="133" t="s">
        <v>232</v>
      </c>
      <c r="D193" s="299" t="s">
        <v>233</v>
      </c>
      <c r="E193" s="122" t="s">
        <v>22</v>
      </c>
      <c r="F193" s="300">
        <v>1</v>
      </c>
      <c r="G193" s="103">
        <v>102.17</v>
      </c>
      <c r="H193" s="89"/>
      <c r="I193" s="89">
        <f t="shared" ref="I193" si="54">TRUNC((G193*F193),2)</f>
        <v>102.17</v>
      </c>
      <c r="J193" s="90"/>
      <c r="K193" s="103"/>
    </row>
    <row r="194" spans="1:17" ht="63.75" outlineLevel="1">
      <c r="A194" s="92"/>
      <c r="B194" s="122" t="s">
        <v>26</v>
      </c>
      <c r="C194" s="133" t="s">
        <v>29</v>
      </c>
      <c r="D194" s="143" t="s">
        <v>343</v>
      </c>
      <c r="E194" s="122" t="s">
        <v>19</v>
      </c>
      <c r="F194" s="123">
        <v>1</v>
      </c>
      <c r="G194" s="124">
        <v>1655</v>
      </c>
      <c r="H194" s="102"/>
      <c r="I194" s="89">
        <f t="shared" ref="I194" si="55">TRUNC((G194*F194),2)</f>
        <v>1655</v>
      </c>
      <c r="J194" s="103">
        <v>0</v>
      </c>
      <c r="K194" s="103"/>
    </row>
    <row r="195" spans="1:17" outlineLevel="1">
      <c r="A195" s="307"/>
      <c r="B195" s="96"/>
      <c r="C195" s="136"/>
      <c r="D195" s="155"/>
      <c r="E195" s="115"/>
      <c r="F195" s="137"/>
      <c r="G195" s="141"/>
      <c r="H195" s="138"/>
      <c r="I195" s="100"/>
      <c r="J195" s="101"/>
      <c r="K195" s="138"/>
    </row>
    <row r="196" spans="1:17" ht="127.5" outlineLevel="1">
      <c r="A196" s="139">
        <v>34</v>
      </c>
      <c r="B196" s="122" t="s">
        <v>27</v>
      </c>
      <c r="C196" s="133" t="s">
        <v>175</v>
      </c>
      <c r="D196" s="143" t="s">
        <v>344</v>
      </c>
      <c r="E196" s="122" t="s">
        <v>19</v>
      </c>
      <c r="F196" s="123" t="s">
        <v>20</v>
      </c>
      <c r="G196" s="124"/>
      <c r="H196" s="102"/>
      <c r="I196" s="131">
        <f>SUM(I197:I201)</f>
        <v>1420.1200000000001</v>
      </c>
      <c r="J196" s="132">
        <f>SUM(J197:J201)</f>
        <v>50.32</v>
      </c>
      <c r="K196" s="90">
        <f>TRUNC((J196+I196),2)</f>
        <v>1470.44</v>
      </c>
      <c r="L196" s="61" t="s">
        <v>310</v>
      </c>
      <c r="M196" s="61" t="s">
        <v>309</v>
      </c>
      <c r="N196" s="61" t="s">
        <v>318</v>
      </c>
    </row>
    <row r="197" spans="1:17" outlineLevel="1">
      <c r="A197" s="92"/>
      <c r="B197" s="122" t="s">
        <v>21</v>
      </c>
      <c r="C197" s="122" t="s">
        <v>64</v>
      </c>
      <c r="D197" s="143" t="s">
        <v>25</v>
      </c>
      <c r="E197" s="122" t="s">
        <v>17</v>
      </c>
      <c r="F197" s="123">
        <v>1</v>
      </c>
      <c r="G197" s="124">
        <v>19.7</v>
      </c>
      <c r="H197" s="102"/>
      <c r="I197" s="102">
        <v>0</v>
      </c>
      <c r="J197" s="90">
        <f t="shared" ref="J197:J198" si="56">TRUNC((G197*F197),2)</f>
        <v>19.7</v>
      </c>
      <c r="K197" s="103"/>
      <c r="L197" s="61">
        <f>1262.7*1.1</f>
        <v>1388.9700000000003</v>
      </c>
      <c r="M197" s="321">
        <f>1084.29*1.15</f>
        <v>1246.9334999999999</v>
      </c>
      <c r="N197" s="321">
        <f>1136.3*1.15987</f>
        <v>1317.9602809999999</v>
      </c>
      <c r="O197" s="322">
        <f>(M197+L197+N197)/3</f>
        <v>1317.9545936666666</v>
      </c>
    </row>
    <row r="198" spans="1:17" outlineLevel="1">
      <c r="A198" s="92"/>
      <c r="B198" s="122" t="s">
        <v>21</v>
      </c>
      <c r="C198" s="86" t="s">
        <v>66</v>
      </c>
      <c r="D198" s="143" t="s">
        <v>23</v>
      </c>
      <c r="E198" s="122" t="s">
        <v>17</v>
      </c>
      <c r="F198" s="123">
        <v>1</v>
      </c>
      <c r="G198" s="124">
        <v>15.31</v>
      </c>
      <c r="H198" s="102"/>
      <c r="I198" s="102">
        <v>0</v>
      </c>
      <c r="J198" s="90">
        <f t="shared" si="56"/>
        <v>15.31</v>
      </c>
      <c r="K198" s="103"/>
      <c r="M198" s="61">
        <f>(M197+L197)/2</f>
        <v>1317.9517500000002</v>
      </c>
    </row>
    <row r="199" spans="1:17" outlineLevel="1">
      <c r="A199" s="92"/>
      <c r="B199" s="122" t="s">
        <v>21</v>
      </c>
      <c r="C199" s="86">
        <v>88286</v>
      </c>
      <c r="D199" s="143" t="s">
        <v>327</v>
      </c>
      <c r="E199" s="122" t="s">
        <v>17</v>
      </c>
      <c r="F199" s="123">
        <v>1</v>
      </c>
      <c r="G199" s="124">
        <v>15.31</v>
      </c>
      <c r="H199" s="102"/>
      <c r="I199" s="102">
        <v>0</v>
      </c>
      <c r="J199" s="90">
        <f t="shared" ref="J199" si="57">TRUNC((G199*F199),2)</f>
        <v>15.31</v>
      </c>
      <c r="K199" s="103"/>
    </row>
    <row r="200" spans="1:17" ht="51" outlineLevel="1">
      <c r="A200" s="92"/>
      <c r="B200" s="122" t="s">
        <v>21</v>
      </c>
      <c r="C200" s="133" t="s">
        <v>232</v>
      </c>
      <c r="D200" s="299" t="s">
        <v>233</v>
      </c>
      <c r="E200" s="122" t="s">
        <v>22</v>
      </c>
      <c r="F200" s="300">
        <v>1</v>
      </c>
      <c r="G200" s="103">
        <v>102.17</v>
      </c>
      <c r="H200" s="89"/>
      <c r="I200" s="89">
        <f t="shared" ref="I200" si="58">TRUNC((G200*F200),2)</f>
        <v>102.17</v>
      </c>
      <c r="J200" s="90"/>
      <c r="K200" s="103"/>
      <c r="L200" s="61">
        <f>1535-90</f>
        <v>1445</v>
      </c>
    </row>
    <row r="201" spans="1:17" ht="63.75" outlineLevel="1">
      <c r="A201" s="92"/>
      <c r="B201" s="122" t="s">
        <v>26</v>
      </c>
      <c r="C201" s="133" t="s">
        <v>29</v>
      </c>
      <c r="D201" s="143" t="s">
        <v>342</v>
      </c>
      <c r="E201" s="122" t="s">
        <v>19</v>
      </c>
      <c r="F201" s="123">
        <v>1</v>
      </c>
      <c r="G201" s="124">
        <v>1317.95</v>
      </c>
      <c r="H201" s="102"/>
      <c r="I201" s="89">
        <f t="shared" ref="I201" si="59">TRUNC((G201*F201),2)</f>
        <v>1317.95</v>
      </c>
      <c r="J201" s="103">
        <v>0</v>
      </c>
      <c r="K201" s="103"/>
    </row>
    <row r="202" spans="1:17" outlineLevel="1">
      <c r="A202" s="95"/>
      <c r="B202" s="115"/>
      <c r="C202" s="136"/>
      <c r="D202" s="155"/>
      <c r="E202" s="115"/>
      <c r="F202" s="137"/>
      <c r="G202" s="141"/>
      <c r="H202" s="144"/>
      <c r="I202" s="100"/>
      <c r="J202" s="120"/>
      <c r="K202" s="120"/>
    </row>
    <row r="203" spans="1:17" ht="25.5">
      <c r="A203" s="135">
        <v>35</v>
      </c>
      <c r="B203" s="125" t="s">
        <v>27</v>
      </c>
      <c r="C203" s="125">
        <v>72271</v>
      </c>
      <c r="D203" s="154" t="s">
        <v>259</v>
      </c>
      <c r="E203" s="127" t="s">
        <v>63</v>
      </c>
      <c r="F203" s="128"/>
      <c r="G203" s="129"/>
      <c r="H203" s="130"/>
      <c r="I203" s="131">
        <f>SUM(I204:I206)</f>
        <v>2.85</v>
      </c>
      <c r="J203" s="132">
        <f>SUM(J204:J206)</f>
        <v>7.12</v>
      </c>
      <c r="K203" s="90">
        <f>TRUNC((J203+I203),2)</f>
        <v>9.9700000000000006</v>
      </c>
      <c r="O203" s="113"/>
      <c r="P203" s="113"/>
      <c r="Q203" s="113"/>
    </row>
    <row r="204" spans="1:17">
      <c r="B204" s="85" t="s">
        <v>21</v>
      </c>
      <c r="C204" s="85" t="s">
        <v>65</v>
      </c>
      <c r="D204" s="142" t="s">
        <v>24</v>
      </c>
      <c r="E204" s="85" t="s">
        <v>17</v>
      </c>
      <c r="F204" s="87">
        <v>0.2</v>
      </c>
      <c r="G204" s="88">
        <v>15.92</v>
      </c>
      <c r="H204" s="134"/>
      <c r="I204" s="89">
        <v>0</v>
      </c>
      <c r="J204" s="90">
        <f>TRUNC((G204*F204),2)</f>
        <v>3.18</v>
      </c>
      <c r="K204" s="134"/>
      <c r="O204" s="113"/>
      <c r="P204" s="113"/>
      <c r="Q204" s="113"/>
    </row>
    <row r="205" spans="1:17">
      <c r="B205" s="85" t="s">
        <v>21</v>
      </c>
      <c r="C205" s="85" t="s">
        <v>64</v>
      </c>
      <c r="D205" s="142" t="s">
        <v>25</v>
      </c>
      <c r="E205" s="85" t="s">
        <v>17</v>
      </c>
      <c r="F205" s="87">
        <v>0.2</v>
      </c>
      <c r="G205" s="88">
        <v>19.7</v>
      </c>
      <c r="H205" s="134"/>
      <c r="I205" s="89">
        <v>0</v>
      </c>
      <c r="J205" s="90">
        <f>TRUNC((G205*F205),2)</f>
        <v>3.94</v>
      </c>
      <c r="K205" s="134"/>
      <c r="O205" s="113"/>
      <c r="P205" s="113"/>
      <c r="Q205" s="113"/>
    </row>
    <row r="206" spans="1:17" ht="25.5">
      <c r="B206" s="85" t="s">
        <v>26</v>
      </c>
      <c r="C206" s="85">
        <v>1539</v>
      </c>
      <c r="D206" s="142" t="s">
        <v>260</v>
      </c>
      <c r="E206" s="85" t="s">
        <v>19</v>
      </c>
      <c r="F206" s="87">
        <v>1</v>
      </c>
      <c r="G206" s="88">
        <v>2.85</v>
      </c>
      <c r="H206" s="89"/>
      <c r="I206" s="89">
        <f t="shared" ref="I206" si="60">TRUNC((G206*F206),2)</f>
        <v>2.85</v>
      </c>
      <c r="J206" s="90">
        <v>0</v>
      </c>
      <c r="K206" s="90"/>
      <c r="O206" s="113"/>
      <c r="P206" s="113"/>
      <c r="Q206" s="113"/>
    </row>
    <row r="207" spans="1:17">
      <c r="B207" s="96"/>
      <c r="C207" s="96"/>
      <c r="D207" s="149"/>
      <c r="E207" s="96"/>
      <c r="F207" s="98"/>
      <c r="G207" s="99"/>
      <c r="H207" s="100"/>
      <c r="I207" s="100"/>
      <c r="J207" s="101"/>
      <c r="K207" s="101"/>
      <c r="O207" s="113"/>
      <c r="P207" s="113"/>
      <c r="Q207" s="113"/>
    </row>
    <row r="208" spans="1:17" ht="25.5">
      <c r="A208" s="135">
        <v>36</v>
      </c>
      <c r="B208" s="125" t="s">
        <v>27</v>
      </c>
      <c r="C208" s="125">
        <v>72272</v>
      </c>
      <c r="D208" s="154" t="s">
        <v>261</v>
      </c>
      <c r="E208" s="127" t="s">
        <v>63</v>
      </c>
      <c r="F208" s="128"/>
      <c r="G208" s="129"/>
      <c r="H208" s="130"/>
      <c r="I208" s="131">
        <f>SUM(I209:I211)</f>
        <v>3.76</v>
      </c>
      <c r="J208" s="132">
        <f>SUM(J209:J211)</f>
        <v>7.12</v>
      </c>
      <c r="K208" s="90">
        <f>TRUNC((J208+I208),2)</f>
        <v>10.88</v>
      </c>
      <c r="O208" s="113"/>
      <c r="P208" s="113"/>
      <c r="Q208" s="113"/>
    </row>
    <row r="209" spans="1:17">
      <c r="B209" s="85" t="s">
        <v>21</v>
      </c>
      <c r="C209" s="85" t="s">
        <v>65</v>
      </c>
      <c r="D209" s="142" t="s">
        <v>24</v>
      </c>
      <c r="E209" s="85" t="s">
        <v>17</v>
      </c>
      <c r="F209" s="87">
        <v>0.2</v>
      </c>
      <c r="G209" s="88">
        <v>15.92</v>
      </c>
      <c r="H209" s="134"/>
      <c r="I209" s="89">
        <v>0</v>
      </c>
      <c r="J209" s="90">
        <f t="shared" ref="J209:J210" si="61">TRUNC((G209*F209),2)</f>
        <v>3.18</v>
      </c>
      <c r="K209" s="134"/>
      <c r="O209" s="113"/>
      <c r="P209" s="113"/>
      <c r="Q209" s="113"/>
    </row>
    <row r="210" spans="1:17">
      <c r="B210" s="85" t="s">
        <v>21</v>
      </c>
      <c r="C210" s="85" t="s">
        <v>64</v>
      </c>
      <c r="D210" s="142" t="s">
        <v>25</v>
      </c>
      <c r="E210" s="85" t="s">
        <v>17</v>
      </c>
      <c r="F210" s="87">
        <v>0.2</v>
      </c>
      <c r="G210" s="88">
        <v>19.7</v>
      </c>
      <c r="H210" s="134"/>
      <c r="I210" s="89">
        <v>0</v>
      </c>
      <c r="J210" s="90">
        <f t="shared" si="61"/>
        <v>3.94</v>
      </c>
      <c r="K210" s="134"/>
      <c r="O210" s="113"/>
      <c r="P210" s="113"/>
      <c r="Q210" s="113"/>
    </row>
    <row r="211" spans="1:17" ht="25.5">
      <c r="B211" s="85" t="s">
        <v>26</v>
      </c>
      <c r="C211" s="85">
        <v>11854</v>
      </c>
      <c r="D211" s="142" t="s">
        <v>262</v>
      </c>
      <c r="E211" s="85" t="s">
        <v>19</v>
      </c>
      <c r="F211" s="87">
        <v>1</v>
      </c>
      <c r="G211" s="88">
        <v>3.76</v>
      </c>
      <c r="H211" s="89"/>
      <c r="I211" s="89">
        <f t="shared" ref="I211" si="62">TRUNC((G211*F211),2)</f>
        <v>3.76</v>
      </c>
      <c r="J211" s="90">
        <v>0</v>
      </c>
      <c r="K211" s="90"/>
      <c r="O211" s="113"/>
      <c r="P211" s="113"/>
      <c r="Q211" s="113"/>
    </row>
    <row r="212" spans="1:17">
      <c r="B212" s="96"/>
      <c r="C212" s="96"/>
      <c r="D212" s="149"/>
      <c r="E212" s="96"/>
      <c r="F212" s="98"/>
      <c r="G212" s="99"/>
      <c r="H212" s="100"/>
      <c r="I212" s="100"/>
      <c r="J212" s="101"/>
      <c r="K212" s="101"/>
      <c r="O212" s="113"/>
      <c r="P212" s="113"/>
      <c r="Q212" s="113"/>
    </row>
    <row r="213" spans="1:17" ht="25.5">
      <c r="A213" s="135">
        <v>37</v>
      </c>
      <c r="B213" s="125" t="s">
        <v>27</v>
      </c>
      <c r="C213" s="125">
        <v>72259</v>
      </c>
      <c r="D213" s="154" t="s">
        <v>181</v>
      </c>
      <c r="E213" s="127" t="s">
        <v>63</v>
      </c>
      <c r="F213" s="128"/>
      <c r="G213" s="129"/>
      <c r="H213" s="130"/>
      <c r="I213" s="131">
        <f>SUM(I214:I216)</f>
        <v>2.0299999999999998</v>
      </c>
      <c r="J213" s="132">
        <f>SUM(J214:J216)</f>
        <v>10.68</v>
      </c>
      <c r="K213" s="90">
        <f>TRUNC((J213+I213),2)</f>
        <v>12.71</v>
      </c>
      <c r="O213" s="113"/>
      <c r="P213" s="113"/>
      <c r="Q213" s="113"/>
    </row>
    <row r="214" spans="1:17">
      <c r="B214" s="85" t="s">
        <v>21</v>
      </c>
      <c r="C214" s="85" t="s">
        <v>65</v>
      </c>
      <c r="D214" s="142" t="s">
        <v>24</v>
      </c>
      <c r="E214" s="85" t="s">
        <v>17</v>
      </c>
      <c r="F214" s="87">
        <v>0.3</v>
      </c>
      <c r="G214" s="88">
        <v>15.92</v>
      </c>
      <c r="H214" s="134"/>
      <c r="I214" s="89">
        <v>0</v>
      </c>
      <c r="J214" s="90">
        <f t="shared" ref="J214:J215" si="63">TRUNC((G214*F214),2)</f>
        <v>4.7699999999999996</v>
      </c>
      <c r="K214" s="134"/>
      <c r="O214" s="113"/>
      <c r="P214" s="113"/>
      <c r="Q214" s="113"/>
    </row>
    <row r="215" spans="1:17">
      <c r="B215" s="85" t="s">
        <v>21</v>
      </c>
      <c r="C215" s="85" t="s">
        <v>64</v>
      </c>
      <c r="D215" s="142" t="s">
        <v>25</v>
      </c>
      <c r="E215" s="85" t="s">
        <v>17</v>
      </c>
      <c r="F215" s="87">
        <v>0.3</v>
      </c>
      <c r="G215" s="88">
        <v>19.7</v>
      </c>
      <c r="H215" s="134"/>
      <c r="I215" s="89">
        <v>0</v>
      </c>
      <c r="J215" s="90">
        <f t="shared" si="63"/>
        <v>5.91</v>
      </c>
      <c r="K215" s="134"/>
      <c r="O215" s="113"/>
      <c r="P215" s="113"/>
      <c r="Q215" s="113"/>
    </row>
    <row r="216" spans="1:17" ht="25.5">
      <c r="B216" s="85" t="s">
        <v>26</v>
      </c>
      <c r="C216" s="85">
        <v>1535</v>
      </c>
      <c r="D216" s="142" t="s">
        <v>182</v>
      </c>
      <c r="E216" s="85" t="s">
        <v>19</v>
      </c>
      <c r="F216" s="87">
        <v>1</v>
      </c>
      <c r="G216" s="88">
        <v>2.0299999999999998</v>
      </c>
      <c r="H216" s="89"/>
      <c r="I216" s="89">
        <f t="shared" ref="I216" si="64">TRUNC((G216*F216),2)</f>
        <v>2.0299999999999998</v>
      </c>
      <c r="J216" s="90">
        <v>0</v>
      </c>
      <c r="K216" s="90"/>
      <c r="O216" s="113"/>
      <c r="P216" s="113"/>
      <c r="Q216" s="113"/>
    </row>
    <row r="217" spans="1:17">
      <c r="B217" s="96"/>
      <c r="C217" s="96"/>
      <c r="D217" s="149"/>
      <c r="E217" s="96"/>
      <c r="F217" s="98"/>
      <c r="G217" s="99"/>
      <c r="H217" s="100"/>
      <c r="I217" s="100"/>
      <c r="J217" s="101"/>
      <c r="K217" s="101"/>
      <c r="O217" s="113"/>
      <c r="P217" s="113"/>
      <c r="Q217" s="113"/>
    </row>
    <row r="218" spans="1:17" ht="25.5">
      <c r="A218" s="135">
        <v>38</v>
      </c>
      <c r="B218" s="125" t="s">
        <v>27</v>
      </c>
      <c r="C218" s="125">
        <v>72260</v>
      </c>
      <c r="D218" s="154" t="s">
        <v>263</v>
      </c>
      <c r="E218" s="127" t="s">
        <v>63</v>
      </c>
      <c r="F218" s="128"/>
      <c r="G218" s="129"/>
      <c r="H218" s="130"/>
      <c r="I218" s="131">
        <f>SUM(I219:I221)</f>
        <v>1.99</v>
      </c>
      <c r="J218" s="132">
        <f>SUM(J219:J221)</f>
        <v>10.68</v>
      </c>
      <c r="K218" s="90">
        <f>TRUNC((J218+I218),2)</f>
        <v>12.67</v>
      </c>
      <c r="O218" s="113"/>
      <c r="P218" s="113"/>
      <c r="Q218" s="113"/>
    </row>
    <row r="219" spans="1:17">
      <c r="B219" s="85" t="s">
        <v>21</v>
      </c>
      <c r="C219" s="85" t="s">
        <v>65</v>
      </c>
      <c r="D219" s="142" t="s">
        <v>24</v>
      </c>
      <c r="E219" s="85" t="s">
        <v>17</v>
      </c>
      <c r="F219" s="87">
        <v>0.3</v>
      </c>
      <c r="G219" s="88">
        <v>15.92</v>
      </c>
      <c r="H219" s="134"/>
      <c r="I219" s="89">
        <v>0</v>
      </c>
      <c r="J219" s="90">
        <f t="shared" ref="J219:J220" si="65">TRUNC((G219*F219),2)</f>
        <v>4.7699999999999996</v>
      </c>
      <c r="K219" s="134"/>
      <c r="O219" s="113"/>
      <c r="P219" s="113"/>
      <c r="Q219" s="113"/>
    </row>
    <row r="220" spans="1:17">
      <c r="B220" s="85" t="s">
        <v>21</v>
      </c>
      <c r="C220" s="85" t="s">
        <v>64</v>
      </c>
      <c r="D220" s="142" t="s">
        <v>25</v>
      </c>
      <c r="E220" s="85" t="s">
        <v>17</v>
      </c>
      <c r="F220" s="87">
        <v>0.3</v>
      </c>
      <c r="G220" s="88">
        <v>19.7</v>
      </c>
      <c r="H220" s="134"/>
      <c r="I220" s="89">
        <v>0</v>
      </c>
      <c r="J220" s="90">
        <f t="shared" si="65"/>
        <v>5.91</v>
      </c>
      <c r="K220" s="134"/>
      <c r="O220" s="113"/>
      <c r="P220" s="113"/>
      <c r="Q220" s="113"/>
    </row>
    <row r="221" spans="1:17" ht="25.5">
      <c r="B221" s="85" t="s">
        <v>26</v>
      </c>
      <c r="C221" s="85">
        <v>1585</v>
      </c>
      <c r="D221" s="142" t="s">
        <v>264</v>
      </c>
      <c r="E221" s="85" t="s">
        <v>19</v>
      </c>
      <c r="F221" s="87">
        <v>1</v>
      </c>
      <c r="G221" s="88">
        <v>1.99</v>
      </c>
      <c r="H221" s="89"/>
      <c r="I221" s="89">
        <f t="shared" ref="I221" si="66">TRUNC((G221*F221),2)</f>
        <v>1.99</v>
      </c>
      <c r="J221" s="90">
        <v>0</v>
      </c>
      <c r="K221" s="90"/>
      <c r="O221" s="113"/>
      <c r="P221" s="113"/>
      <c r="Q221" s="113"/>
    </row>
    <row r="222" spans="1:17">
      <c r="B222" s="96"/>
      <c r="C222" s="96"/>
      <c r="D222" s="149"/>
      <c r="E222" s="96"/>
      <c r="F222" s="98"/>
      <c r="G222" s="99"/>
      <c r="H222" s="100"/>
      <c r="I222" s="100"/>
      <c r="J222" s="101"/>
      <c r="K222" s="101"/>
      <c r="O222" s="113"/>
      <c r="P222" s="113"/>
      <c r="Q222" s="113"/>
    </row>
    <row r="223" spans="1:17" ht="25.5">
      <c r="A223" s="135">
        <v>39</v>
      </c>
      <c r="B223" s="125" t="s">
        <v>27</v>
      </c>
      <c r="C223" s="126" t="s">
        <v>122</v>
      </c>
      <c r="D223" s="154" t="s">
        <v>137</v>
      </c>
      <c r="E223" s="127" t="s">
        <v>1</v>
      </c>
      <c r="F223" s="128"/>
      <c r="G223" s="129"/>
      <c r="H223" s="130"/>
      <c r="I223" s="131">
        <f>SUM(I224:I226)</f>
        <v>1.82</v>
      </c>
      <c r="J223" s="132">
        <f>SUM(J224:J226)</f>
        <v>2.4400000000000004</v>
      </c>
      <c r="K223" s="90">
        <f>TRUNC((J223+I223),2)</f>
        <v>4.26</v>
      </c>
      <c r="L223" s="113"/>
    </row>
    <row r="224" spans="1:17">
      <c r="A224" s="92"/>
      <c r="B224" s="85" t="s">
        <v>21</v>
      </c>
      <c r="C224" s="133" t="s">
        <v>64</v>
      </c>
      <c r="D224" s="143" t="s">
        <v>25</v>
      </c>
      <c r="E224" s="122" t="s">
        <v>17</v>
      </c>
      <c r="F224" s="123">
        <v>7.0000000000000007E-2</v>
      </c>
      <c r="G224" s="124">
        <v>19.7</v>
      </c>
      <c r="H224" s="134"/>
      <c r="I224" s="89">
        <v>0</v>
      </c>
      <c r="J224" s="90">
        <f t="shared" ref="J224:J225" si="67">TRUNC((G224*F224),2)</f>
        <v>1.37</v>
      </c>
      <c r="K224" s="134"/>
    </row>
    <row r="225" spans="1:15">
      <c r="A225" s="92"/>
      <c r="B225" s="85" t="s">
        <v>21</v>
      </c>
      <c r="C225" s="133" t="s">
        <v>66</v>
      </c>
      <c r="D225" s="143" t="s">
        <v>23</v>
      </c>
      <c r="E225" s="122" t="s">
        <v>17</v>
      </c>
      <c r="F225" s="123">
        <v>7.0000000000000007E-2</v>
      </c>
      <c r="G225" s="124">
        <v>15.31</v>
      </c>
      <c r="H225" s="134"/>
      <c r="I225" s="89">
        <v>0</v>
      </c>
      <c r="J225" s="90">
        <f t="shared" si="67"/>
        <v>1.07</v>
      </c>
      <c r="K225" s="134"/>
      <c r="L225" s="61" t="s">
        <v>326</v>
      </c>
      <c r="M225" s="61" t="s">
        <v>325</v>
      </c>
      <c r="N225" s="61" t="s">
        <v>324</v>
      </c>
    </row>
    <row r="226" spans="1:15" ht="25.5">
      <c r="A226" s="92"/>
      <c r="B226" s="85" t="s">
        <v>73</v>
      </c>
      <c r="C226" s="133" t="s">
        <v>29</v>
      </c>
      <c r="D226" s="143" t="s">
        <v>138</v>
      </c>
      <c r="E226" s="122" t="s">
        <v>1</v>
      </c>
      <c r="F226" s="123">
        <v>1</v>
      </c>
      <c r="G226" s="124">
        <v>1.82</v>
      </c>
      <c r="H226" s="134"/>
      <c r="I226" s="89">
        <f t="shared" ref="I226" si="68">TRUNC((G226*F226),2)</f>
        <v>1.82</v>
      </c>
      <c r="J226" s="90">
        <v>0</v>
      </c>
      <c r="K226" s="134"/>
      <c r="L226" s="61">
        <v>16.09</v>
      </c>
      <c r="M226" s="61">
        <v>18.899999999999999</v>
      </c>
      <c r="N226" s="61">
        <v>19.62</v>
      </c>
      <c r="O226" s="61">
        <f>(L226+M226+N226)/3</f>
        <v>18.203333333333333</v>
      </c>
    </row>
    <row r="227" spans="1:15">
      <c r="A227" s="95"/>
      <c r="B227" s="96"/>
      <c r="C227" s="136"/>
      <c r="D227" s="155"/>
      <c r="E227" s="115"/>
      <c r="F227" s="137"/>
      <c r="G227" s="141"/>
      <c r="H227" s="138"/>
      <c r="I227" s="100"/>
      <c r="J227" s="101"/>
      <c r="K227" s="138"/>
    </row>
    <row r="228" spans="1:15">
      <c r="A228" s="383" t="s">
        <v>329</v>
      </c>
      <c r="B228" s="384"/>
      <c r="C228" s="384"/>
      <c r="D228" s="384"/>
      <c r="E228" s="384"/>
      <c r="F228" s="384"/>
      <c r="G228" s="384"/>
      <c r="H228" s="384"/>
      <c r="I228" s="384"/>
      <c r="J228" s="384"/>
      <c r="K228" s="385"/>
    </row>
    <row r="229" spans="1:15">
      <c r="A229" s="95"/>
      <c r="B229" s="115"/>
      <c r="C229" s="136"/>
      <c r="D229" s="302"/>
      <c r="E229" s="115"/>
      <c r="F229" s="303"/>
      <c r="G229" s="120"/>
      <c r="H229" s="120"/>
      <c r="I229" s="120"/>
      <c r="J229" s="120"/>
      <c r="K229" s="120"/>
      <c r="L229" s="301"/>
    </row>
    <row r="230" spans="1:15" ht="38.25">
      <c r="A230" s="135">
        <v>40</v>
      </c>
      <c r="B230" s="122" t="s">
        <v>27</v>
      </c>
      <c r="C230" s="133" t="s">
        <v>202</v>
      </c>
      <c r="D230" s="299" t="s">
        <v>330</v>
      </c>
      <c r="E230" s="122" t="s">
        <v>17</v>
      </c>
      <c r="F230" s="300" t="s">
        <v>20</v>
      </c>
      <c r="G230" s="103"/>
      <c r="H230" s="304"/>
      <c r="I230" s="304">
        <f>SUM(I231:I234)</f>
        <v>102.17</v>
      </c>
      <c r="J230" s="304">
        <f>SUM(J231:J234)</f>
        <v>52.099999999999994</v>
      </c>
      <c r="K230" s="103">
        <f>J230+I230</f>
        <v>154.26999999999998</v>
      </c>
      <c r="L230" s="301"/>
    </row>
    <row r="231" spans="1:15">
      <c r="A231" s="92"/>
      <c r="B231" s="122" t="s">
        <v>21</v>
      </c>
      <c r="C231" s="133" t="s">
        <v>66</v>
      </c>
      <c r="D231" s="299" t="s">
        <v>23</v>
      </c>
      <c r="E231" s="122" t="s">
        <v>17</v>
      </c>
      <c r="F231" s="300">
        <v>1</v>
      </c>
      <c r="G231" s="103">
        <v>15.92</v>
      </c>
      <c r="H231" s="103"/>
      <c r="I231" s="103">
        <v>0</v>
      </c>
      <c r="J231" s="90">
        <f t="shared" ref="J231:J233" si="69">TRUNC((G231*F231),2)</f>
        <v>15.92</v>
      </c>
      <c r="K231" s="103"/>
      <c r="L231" s="301"/>
    </row>
    <row r="232" spans="1:15">
      <c r="A232" s="92"/>
      <c r="B232" s="85" t="s">
        <v>21</v>
      </c>
      <c r="C232" s="133" t="s">
        <v>64</v>
      </c>
      <c r="D232" s="143" t="s">
        <v>25</v>
      </c>
      <c r="E232" s="122" t="s">
        <v>17</v>
      </c>
      <c r="F232" s="300">
        <v>1</v>
      </c>
      <c r="G232" s="124">
        <v>19.7</v>
      </c>
      <c r="H232" s="134"/>
      <c r="I232" s="89">
        <v>0</v>
      </c>
      <c r="J232" s="90">
        <f t="shared" si="69"/>
        <v>19.7</v>
      </c>
      <c r="K232" s="134"/>
      <c r="L232" s="301"/>
    </row>
    <row r="233" spans="1:15">
      <c r="A233" s="92"/>
      <c r="B233" s="122" t="s">
        <v>21</v>
      </c>
      <c r="C233" s="133">
        <v>88286</v>
      </c>
      <c r="D233" s="299" t="s">
        <v>68</v>
      </c>
      <c r="E233" s="122" t="s">
        <v>17</v>
      </c>
      <c r="F233" s="300">
        <v>1</v>
      </c>
      <c r="G233" s="103">
        <v>16.48</v>
      </c>
      <c r="H233" s="103"/>
      <c r="I233" s="103">
        <v>0</v>
      </c>
      <c r="J233" s="90">
        <f t="shared" si="69"/>
        <v>16.48</v>
      </c>
      <c r="K233" s="103"/>
      <c r="L233" s="301"/>
    </row>
    <row r="234" spans="1:15" ht="51">
      <c r="A234" s="92"/>
      <c r="B234" s="122" t="s">
        <v>21</v>
      </c>
      <c r="C234" s="133" t="s">
        <v>232</v>
      </c>
      <c r="D234" s="299" t="s">
        <v>233</v>
      </c>
      <c r="E234" s="122" t="s">
        <v>22</v>
      </c>
      <c r="F234" s="300">
        <v>1</v>
      </c>
      <c r="G234" s="103">
        <v>102.17</v>
      </c>
      <c r="H234" s="103"/>
      <c r="I234" s="89">
        <f t="shared" ref="I234" si="70">TRUNC((G234*F234),2)</f>
        <v>102.17</v>
      </c>
      <c r="J234" s="103">
        <v>0</v>
      </c>
      <c r="K234" s="103"/>
      <c r="L234" s="301"/>
    </row>
    <row r="235" spans="1:15">
      <c r="D235" s="61"/>
      <c r="F235" s="306"/>
      <c r="G235" s="113"/>
      <c r="H235" s="113"/>
      <c r="I235" s="113"/>
      <c r="L235" s="301"/>
    </row>
    <row r="236" spans="1:15" ht="51">
      <c r="A236" s="135">
        <v>41</v>
      </c>
      <c r="B236" s="122" t="s">
        <v>27</v>
      </c>
      <c r="C236" s="133" t="s">
        <v>286</v>
      </c>
      <c r="D236" s="299" t="s">
        <v>338</v>
      </c>
      <c r="E236" s="122" t="s">
        <v>19</v>
      </c>
      <c r="F236" s="300" t="s">
        <v>20</v>
      </c>
      <c r="G236" s="103"/>
      <c r="H236" s="304"/>
      <c r="I236" s="304">
        <f>SUM(I237:I244)</f>
        <v>462.39000000000004</v>
      </c>
      <c r="J236" s="304">
        <f>SUM(J237:J244)</f>
        <v>52.099999999999994</v>
      </c>
      <c r="K236" s="103">
        <f>J236+I236</f>
        <v>514.49</v>
      </c>
      <c r="L236" s="301"/>
      <c r="N236" s="103"/>
    </row>
    <row r="237" spans="1:15">
      <c r="A237" s="92"/>
      <c r="B237" s="122" t="s">
        <v>21</v>
      </c>
      <c r="C237" s="133" t="s">
        <v>66</v>
      </c>
      <c r="D237" s="299" t="s">
        <v>23</v>
      </c>
      <c r="E237" s="122" t="s">
        <v>17</v>
      </c>
      <c r="F237" s="300">
        <v>1</v>
      </c>
      <c r="G237" s="103">
        <v>15.92</v>
      </c>
      <c r="H237" s="103"/>
      <c r="I237" s="103">
        <v>0</v>
      </c>
      <c r="J237" s="90">
        <f t="shared" ref="J237:J239" si="71">TRUNC((G237*F237),2)</f>
        <v>15.92</v>
      </c>
      <c r="K237" s="103"/>
      <c r="L237" s="301"/>
    </row>
    <row r="238" spans="1:15">
      <c r="A238" s="92"/>
      <c r="B238" s="122" t="s">
        <v>21</v>
      </c>
      <c r="C238" s="133">
        <v>90776</v>
      </c>
      <c r="D238" s="299" t="s">
        <v>231</v>
      </c>
      <c r="E238" s="122" t="s">
        <v>17</v>
      </c>
      <c r="F238" s="300">
        <v>1</v>
      </c>
      <c r="G238" s="103">
        <v>19.7</v>
      </c>
      <c r="H238" s="103"/>
      <c r="I238" s="103">
        <v>0</v>
      </c>
      <c r="J238" s="90">
        <f t="shared" si="71"/>
        <v>19.7</v>
      </c>
      <c r="K238" s="103"/>
      <c r="L238" s="301"/>
    </row>
    <row r="239" spans="1:15">
      <c r="A239" s="92"/>
      <c r="B239" s="122" t="s">
        <v>21</v>
      </c>
      <c r="C239" s="133">
        <v>88286</v>
      </c>
      <c r="D239" s="299" t="s">
        <v>68</v>
      </c>
      <c r="E239" s="122" t="s">
        <v>17</v>
      </c>
      <c r="F239" s="300">
        <v>1</v>
      </c>
      <c r="G239" s="103">
        <v>16.48</v>
      </c>
      <c r="H239" s="103"/>
      <c r="I239" s="103">
        <v>0</v>
      </c>
      <c r="J239" s="90">
        <f t="shared" si="71"/>
        <v>16.48</v>
      </c>
      <c r="K239" s="103"/>
      <c r="L239" s="301"/>
    </row>
    <row r="240" spans="1:15" ht="51">
      <c r="A240" s="92"/>
      <c r="B240" s="122" t="s">
        <v>21</v>
      </c>
      <c r="C240" s="133" t="s">
        <v>232</v>
      </c>
      <c r="D240" s="299" t="s">
        <v>233</v>
      </c>
      <c r="E240" s="122" t="s">
        <v>22</v>
      </c>
      <c r="F240" s="300">
        <v>1</v>
      </c>
      <c r="G240" s="103">
        <v>102.17</v>
      </c>
      <c r="H240" s="103"/>
      <c r="I240" s="89">
        <f t="shared" ref="I240:I243" si="72">TRUNC((G240*F240),2)</f>
        <v>102.17</v>
      </c>
      <c r="J240" s="103">
        <v>0</v>
      </c>
      <c r="K240" s="103"/>
      <c r="L240" s="301"/>
    </row>
    <row r="241" spans="1:14" ht="38.25">
      <c r="A241" s="307"/>
      <c r="B241" s="122" t="s">
        <v>73</v>
      </c>
      <c r="C241" s="133" t="s">
        <v>29</v>
      </c>
      <c r="D241" s="299" t="s">
        <v>334</v>
      </c>
      <c r="E241" s="122" t="s">
        <v>19</v>
      </c>
      <c r="F241" s="300">
        <v>1</v>
      </c>
      <c r="G241" s="103">
        <v>305.35000000000002</v>
      </c>
      <c r="H241" s="103"/>
      <c r="I241" s="89">
        <f t="shared" si="72"/>
        <v>305.35000000000002</v>
      </c>
      <c r="J241" s="103">
        <v>0</v>
      </c>
      <c r="K241" s="103"/>
      <c r="L241" s="301"/>
    </row>
    <row r="242" spans="1:14" ht="45.6" customHeight="1">
      <c r="A242" s="307"/>
      <c r="B242" s="122" t="s">
        <v>73</v>
      </c>
      <c r="C242" s="133" t="s">
        <v>29</v>
      </c>
      <c r="D242" s="299" t="s">
        <v>337</v>
      </c>
      <c r="E242" s="122" t="s">
        <v>19</v>
      </c>
      <c r="F242" s="300">
        <v>2</v>
      </c>
      <c r="G242" s="103">
        <v>18.600000000000001</v>
      </c>
      <c r="H242" s="103"/>
      <c r="I242" s="89">
        <f t="shared" si="72"/>
        <v>37.200000000000003</v>
      </c>
      <c r="J242" s="103">
        <v>0</v>
      </c>
      <c r="K242" s="103"/>
      <c r="L242" s="301"/>
    </row>
    <row r="243" spans="1:14" ht="25.5">
      <c r="B243" s="122" t="s">
        <v>26</v>
      </c>
      <c r="C243" s="133">
        <v>436</v>
      </c>
      <c r="D243" s="299" t="s">
        <v>336</v>
      </c>
      <c r="E243" s="122" t="s">
        <v>19</v>
      </c>
      <c r="F243" s="300">
        <v>2</v>
      </c>
      <c r="G243" s="103">
        <v>3.21</v>
      </c>
      <c r="H243" s="103"/>
      <c r="I243" s="89">
        <f t="shared" si="72"/>
        <v>6.42</v>
      </c>
      <c r="J243" s="103">
        <v>0</v>
      </c>
      <c r="K243" s="103"/>
      <c r="L243" s="301"/>
      <c r="N243" s="61" t="s">
        <v>234</v>
      </c>
    </row>
    <row r="244" spans="1:14" ht="25.5">
      <c r="B244" s="122" t="s">
        <v>26</v>
      </c>
      <c r="C244" s="133">
        <v>437</v>
      </c>
      <c r="D244" s="299" t="s">
        <v>335</v>
      </c>
      <c r="E244" s="122" t="s">
        <v>19</v>
      </c>
      <c r="F244" s="300">
        <v>1</v>
      </c>
      <c r="G244" s="103">
        <v>11.25</v>
      </c>
      <c r="H244" s="103"/>
      <c r="I244" s="89">
        <f t="shared" ref="I244" si="73">TRUNC((G244*F244),2)</f>
        <v>11.25</v>
      </c>
      <c r="J244" s="103">
        <v>0</v>
      </c>
      <c r="K244" s="103"/>
      <c r="L244" s="301"/>
    </row>
    <row r="245" spans="1:14">
      <c r="D245" s="61"/>
      <c r="F245" s="306"/>
      <c r="G245" s="113"/>
      <c r="H245" s="113"/>
      <c r="I245" s="113"/>
      <c r="L245" s="301"/>
      <c r="N245" s="61" t="s">
        <v>235</v>
      </c>
    </row>
    <row r="246" spans="1:14" ht="25.5">
      <c r="A246" s="139">
        <v>42</v>
      </c>
      <c r="B246" s="104" t="s">
        <v>27</v>
      </c>
      <c r="C246" s="104" t="s">
        <v>213</v>
      </c>
      <c r="D246" s="150" t="s">
        <v>339</v>
      </c>
      <c r="E246" s="104" t="s">
        <v>1</v>
      </c>
      <c r="F246" s="105" t="s">
        <v>20</v>
      </c>
      <c r="G246" s="106"/>
      <c r="H246" s="107"/>
      <c r="I246" s="107">
        <f>SUM(I247:I250)</f>
        <v>5.66</v>
      </c>
      <c r="J246" s="108">
        <f>SUM(J247:J250)</f>
        <v>1.4100000000000001</v>
      </c>
      <c r="K246" s="90">
        <f>TRUNC((J246+I246),2)</f>
        <v>7.07</v>
      </c>
      <c r="N246" s="61" t="s">
        <v>236</v>
      </c>
    </row>
    <row r="247" spans="1:14">
      <c r="A247" s="113"/>
      <c r="B247" s="85" t="s">
        <v>21</v>
      </c>
      <c r="C247" s="85" t="s">
        <v>65</v>
      </c>
      <c r="D247" s="142" t="s">
        <v>24</v>
      </c>
      <c r="E247" s="85" t="s">
        <v>17</v>
      </c>
      <c r="F247" s="87">
        <v>0.04</v>
      </c>
      <c r="G247" s="88">
        <v>15.92</v>
      </c>
      <c r="H247" s="89"/>
      <c r="I247" s="89">
        <v>0</v>
      </c>
      <c r="J247" s="90">
        <f t="shared" ref="J247:J248" si="74">TRUNC((G247*F247),2)</f>
        <v>0.63</v>
      </c>
      <c r="K247" s="90"/>
      <c r="N247" s="61" t="s">
        <v>237</v>
      </c>
    </row>
    <row r="248" spans="1:14">
      <c r="A248" s="113"/>
      <c r="B248" s="85" t="s">
        <v>21</v>
      </c>
      <c r="C248" s="85" t="s">
        <v>64</v>
      </c>
      <c r="D248" s="142" t="s">
        <v>25</v>
      </c>
      <c r="E248" s="85" t="s">
        <v>17</v>
      </c>
      <c r="F248" s="87">
        <v>0.04</v>
      </c>
      <c r="G248" s="88">
        <v>19.7</v>
      </c>
      <c r="H248" s="89"/>
      <c r="I248" s="89">
        <v>0</v>
      </c>
      <c r="J248" s="90">
        <f t="shared" si="74"/>
        <v>0.78</v>
      </c>
      <c r="K248" s="90"/>
    </row>
    <row r="249" spans="1:14">
      <c r="A249" s="113"/>
      <c r="B249" s="85" t="s">
        <v>150</v>
      </c>
      <c r="C249" s="85" t="s">
        <v>29</v>
      </c>
      <c r="D249" s="142" t="s">
        <v>340</v>
      </c>
      <c r="E249" s="85" t="s">
        <v>1</v>
      </c>
      <c r="F249" s="87">
        <v>1</v>
      </c>
      <c r="G249" s="88">
        <v>5.46</v>
      </c>
      <c r="H249" s="89"/>
      <c r="I249" s="89">
        <f t="shared" ref="I249:I250" si="75">TRUNC((G249*F249),2)</f>
        <v>5.46</v>
      </c>
      <c r="J249" s="90">
        <v>0</v>
      </c>
      <c r="K249" s="85"/>
      <c r="L249" s="61" t="s">
        <v>341</v>
      </c>
    </row>
    <row r="250" spans="1:14" ht="25.5">
      <c r="A250" s="113"/>
      <c r="B250" s="85" t="s">
        <v>26</v>
      </c>
      <c r="C250" s="85" t="s">
        <v>69</v>
      </c>
      <c r="D250" s="142" t="s">
        <v>70</v>
      </c>
      <c r="E250" s="85" t="s">
        <v>19</v>
      </c>
      <c r="F250" s="87">
        <v>5.3999999999999999E-2</v>
      </c>
      <c r="G250" s="88">
        <v>3.76</v>
      </c>
      <c r="H250" s="89"/>
      <c r="I250" s="89">
        <f t="shared" si="75"/>
        <v>0.2</v>
      </c>
      <c r="J250" s="90">
        <v>0</v>
      </c>
      <c r="K250" s="85"/>
      <c r="L250" s="61">
        <v>546.72</v>
      </c>
      <c r="N250" s="61" t="s">
        <v>238</v>
      </c>
    </row>
    <row r="251" spans="1:14">
      <c r="D251" s="61"/>
      <c r="F251" s="306"/>
      <c r="G251" s="113"/>
      <c r="H251" s="113"/>
      <c r="I251" s="113"/>
      <c r="L251" s="301"/>
      <c r="N251" s="61">
        <v>7</v>
      </c>
    </row>
    <row r="252" spans="1:14" ht="127.5">
      <c r="A252" s="139">
        <v>43</v>
      </c>
      <c r="B252" s="122" t="s">
        <v>27</v>
      </c>
      <c r="C252" s="133" t="s">
        <v>175</v>
      </c>
      <c r="D252" s="143" t="s">
        <v>346</v>
      </c>
      <c r="E252" s="122" t="s">
        <v>19</v>
      </c>
      <c r="F252" s="123" t="s">
        <v>20</v>
      </c>
      <c r="G252" s="124"/>
      <c r="H252" s="102"/>
      <c r="I252" s="131">
        <f>SUM(I253:I257)</f>
        <v>1877.17</v>
      </c>
      <c r="J252" s="132">
        <f>SUM(J253:J257)</f>
        <v>50.32</v>
      </c>
      <c r="K252" s="90">
        <f>TRUNC((J252+I252),2)</f>
        <v>1927.49</v>
      </c>
      <c r="L252" s="301"/>
    </row>
    <row r="253" spans="1:14">
      <c r="A253" s="92"/>
      <c r="B253" s="122" t="s">
        <v>21</v>
      </c>
      <c r="C253" s="122" t="s">
        <v>64</v>
      </c>
      <c r="D253" s="143" t="s">
        <v>25</v>
      </c>
      <c r="E253" s="122" t="s">
        <v>17</v>
      </c>
      <c r="F253" s="123">
        <v>1</v>
      </c>
      <c r="G253" s="124">
        <v>19.7</v>
      </c>
      <c r="H253" s="102"/>
      <c r="I253" s="102">
        <v>0</v>
      </c>
      <c r="J253" s="90">
        <f t="shared" ref="J253:J255" si="76">TRUNC((G253*F253),2)</f>
        <v>19.7</v>
      </c>
      <c r="K253" s="103"/>
      <c r="L253" s="301"/>
    </row>
    <row r="254" spans="1:14">
      <c r="A254" s="92"/>
      <c r="B254" s="122" t="s">
        <v>21</v>
      </c>
      <c r="C254" s="122" t="s">
        <v>66</v>
      </c>
      <c r="D254" s="143" t="s">
        <v>23</v>
      </c>
      <c r="E254" s="122" t="s">
        <v>17</v>
      </c>
      <c r="F254" s="123">
        <v>1</v>
      </c>
      <c r="G254" s="124">
        <v>15.31</v>
      </c>
      <c r="H254" s="102"/>
      <c r="I254" s="102">
        <v>0</v>
      </c>
      <c r="J254" s="90">
        <f t="shared" si="76"/>
        <v>15.31</v>
      </c>
      <c r="K254" s="103"/>
      <c r="L254" s="301"/>
    </row>
    <row r="255" spans="1:14">
      <c r="A255" s="92"/>
      <c r="B255" s="122" t="s">
        <v>21</v>
      </c>
      <c r="C255" s="86">
        <v>88286</v>
      </c>
      <c r="D255" s="143" t="s">
        <v>327</v>
      </c>
      <c r="E255" s="122" t="s">
        <v>17</v>
      </c>
      <c r="F255" s="123">
        <v>1</v>
      </c>
      <c r="G255" s="124">
        <v>15.31</v>
      </c>
      <c r="H255" s="102"/>
      <c r="I255" s="102">
        <v>0</v>
      </c>
      <c r="J255" s="90">
        <f t="shared" si="76"/>
        <v>15.31</v>
      </c>
      <c r="K255" s="103"/>
      <c r="L255" s="301"/>
    </row>
    <row r="256" spans="1:14" ht="51">
      <c r="A256" s="92"/>
      <c r="B256" s="122" t="s">
        <v>21</v>
      </c>
      <c r="C256" s="133" t="s">
        <v>232</v>
      </c>
      <c r="D256" s="299" t="s">
        <v>233</v>
      </c>
      <c r="E256" s="122" t="s">
        <v>22</v>
      </c>
      <c r="F256" s="300">
        <v>1</v>
      </c>
      <c r="G256" s="103">
        <v>102.17</v>
      </c>
      <c r="H256" s="89"/>
      <c r="I256" s="89">
        <f t="shared" ref="I256:I257" si="77">TRUNC((G256*F256),2)</f>
        <v>102.17</v>
      </c>
      <c r="J256" s="90"/>
      <c r="K256" s="103"/>
      <c r="L256" s="301"/>
    </row>
    <row r="257" spans="1:12" ht="63.75">
      <c r="A257" s="92"/>
      <c r="B257" s="122" t="s">
        <v>26</v>
      </c>
      <c r="C257" s="133" t="s">
        <v>29</v>
      </c>
      <c r="D257" s="143" t="s">
        <v>347</v>
      </c>
      <c r="E257" s="122" t="s">
        <v>19</v>
      </c>
      <c r="F257" s="123">
        <v>1</v>
      </c>
      <c r="G257" s="124">
        <v>1775</v>
      </c>
      <c r="H257" s="102"/>
      <c r="I257" s="89">
        <f t="shared" si="77"/>
        <v>1775</v>
      </c>
      <c r="J257" s="103">
        <v>0</v>
      </c>
      <c r="K257" s="103"/>
      <c r="L257" s="301"/>
    </row>
    <row r="258" spans="1:12">
      <c r="B258" s="216" t="s">
        <v>356</v>
      </c>
      <c r="C258" s="217"/>
      <c r="D258" s="61"/>
      <c r="F258" s="306"/>
      <c r="G258" s="113"/>
      <c r="H258" s="113"/>
      <c r="I258" s="113"/>
      <c r="L258" s="301"/>
    </row>
    <row r="259" spans="1:12">
      <c r="B259" s="216" t="s">
        <v>357</v>
      </c>
      <c r="C259" s="217"/>
    </row>
    <row r="260" spans="1:12">
      <c r="B260" s="224" t="s">
        <v>358</v>
      </c>
      <c r="C260" s="225"/>
    </row>
  </sheetData>
  <mergeCells count="15">
    <mergeCell ref="A228:K228"/>
    <mergeCell ref="A6:K6"/>
    <mergeCell ref="A8:A9"/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G8:G9"/>
    <mergeCell ref="E7:K7"/>
    <mergeCell ref="A32:K32"/>
  </mergeCells>
  <conditionalFormatting sqref="H13 H10:J10 I26:K26 I33:K33 K30:K31">
    <cfRule type="expression" dxfId="561" priority="10168" stopIfTrue="1">
      <formula>AND($B10&lt;&gt;"COMPOSICAO",$B10&lt;&gt;"INSUMO",$B10&lt;&gt;"")</formula>
    </cfRule>
    <cfRule type="expression" dxfId="560" priority="10169" stopIfTrue="1">
      <formula>AND(OR($B10="COMPOSICAO",$B10="INSUMO",$B10&lt;&gt;""),$B10&lt;&gt;"")</formula>
    </cfRule>
  </conditionalFormatting>
  <conditionalFormatting sqref="H15">
    <cfRule type="expression" dxfId="559" priority="9972" stopIfTrue="1">
      <formula>AND($B15&lt;&gt;"COMPOSICAO",$B15&lt;&gt;"INSUMO",$B15&lt;&gt;"")</formula>
    </cfRule>
    <cfRule type="expression" dxfId="558" priority="9973" stopIfTrue="1">
      <formula>AND(OR($B15="COMPOSICAO",$B15="INSUMO",$B15&lt;&gt;""),$B15&lt;&gt;"")</formula>
    </cfRule>
  </conditionalFormatting>
  <conditionalFormatting sqref="I15:I17">
    <cfRule type="expression" dxfId="557" priority="9968" stopIfTrue="1">
      <formula>AND($B15&lt;&gt;"COMPOSICAO",$B15&lt;&gt;"INSUMO",$B15&lt;&gt;"")</formula>
    </cfRule>
    <cfRule type="expression" dxfId="556" priority="9969" stopIfTrue="1">
      <formula>AND(OR($B15="COMPOSICAO",$B15="INSUMO",$B15&lt;&gt;""),$B15&lt;&gt;"")</formula>
    </cfRule>
  </conditionalFormatting>
  <conditionalFormatting sqref="K14:K17">
    <cfRule type="expression" dxfId="555" priority="9966" stopIfTrue="1">
      <formula>AND($B14&lt;&gt;"COMPOSICAO",$B14&lt;&gt;"INSUMO",$B14&lt;&gt;"")</formula>
    </cfRule>
    <cfRule type="expression" dxfId="554" priority="9967" stopIfTrue="1">
      <formula>AND(OR($B14="COMPOSICAO",$B14="INSUMO",$B14&lt;&gt;""),$B14&lt;&gt;"")</formula>
    </cfRule>
  </conditionalFormatting>
  <conditionalFormatting sqref="I13:J13">
    <cfRule type="expression" dxfId="553" priority="9960" stopIfTrue="1">
      <formula>AND($B13&lt;&gt;"COMPOSICAO",$B13&lt;&gt;"INSUMO",$B13&lt;&gt;"")</formula>
    </cfRule>
    <cfRule type="expression" dxfId="552" priority="9961" stopIfTrue="1">
      <formula>AND(OR($B13="COMPOSICAO",$B13="INSUMO",$B13&lt;&gt;""),$B13&lt;&gt;"")</formula>
    </cfRule>
  </conditionalFormatting>
  <conditionalFormatting sqref="B13:G13">
    <cfRule type="expression" dxfId="551" priority="9862" stopIfTrue="1">
      <formula>AND($B13&lt;&gt;"COMPOSICAO",$B13&lt;&gt;"INSUMO",$B13&lt;&gt;"")</formula>
    </cfRule>
    <cfRule type="expression" dxfId="550" priority="9863" stopIfTrue="1">
      <formula>AND(OR($B13="COMPOSICAO",$B13="INSUMO",$B13&lt;&gt;""),$B13&lt;&gt;"")</formula>
    </cfRule>
  </conditionalFormatting>
  <conditionalFormatting sqref="B10:D10 F10:G10">
    <cfRule type="expression" dxfId="549" priority="9830" stopIfTrue="1">
      <formula>AND($B10&lt;&gt;"COMPOSICAO",$B10&lt;&gt;"INSUMO",$B10&lt;&gt;"")</formula>
    </cfRule>
    <cfRule type="expression" dxfId="548" priority="9831" stopIfTrue="1">
      <formula>AND(OR($B10="COMPOSICAO",$B10="INSUMO",$B10&lt;&gt;""),$B10&lt;&gt;"")</formula>
    </cfRule>
  </conditionalFormatting>
  <conditionalFormatting sqref="K10">
    <cfRule type="expression" dxfId="547" priority="9826" stopIfTrue="1">
      <formula>AND($B10&lt;&gt;"COMPOSICAO",$B10&lt;&gt;"INSUMO",$B10&lt;&gt;"")</formula>
    </cfRule>
    <cfRule type="expression" dxfId="546" priority="9827" stopIfTrue="1">
      <formula>AND(OR($B10="COMPOSICAO",$B10="INSUMO",$B10&lt;&gt;""),$B10&lt;&gt;"")</formula>
    </cfRule>
  </conditionalFormatting>
  <conditionalFormatting sqref="E10">
    <cfRule type="expression" dxfId="545" priority="9808" stopIfTrue="1">
      <formula>AND($B10&lt;&gt;"COMPOSICAO",$B10&lt;&gt;"INSUMO",$B10&lt;&gt;"")</formula>
    </cfRule>
    <cfRule type="expression" dxfId="544" priority="9809" stopIfTrue="1">
      <formula>AND(OR($B10="COMPOSICAO",$B10="INSUMO",$B10&lt;&gt;""),$B10&lt;&gt;"")</formula>
    </cfRule>
  </conditionalFormatting>
  <conditionalFormatting sqref="J17">
    <cfRule type="expression" dxfId="543" priority="9788" stopIfTrue="1">
      <formula>AND($B17&lt;&gt;"COMPOSICAO",$B17&lt;&gt;"INSUMO",$B17&lt;&gt;"")</formula>
    </cfRule>
    <cfRule type="expression" dxfId="542" priority="9789" stopIfTrue="1">
      <formula>AND(OR($B17="COMPOSICAO",$B17="INSUMO",$B17&lt;&gt;""),$B17&lt;&gt;"")</formula>
    </cfRule>
  </conditionalFormatting>
  <conditionalFormatting sqref="H18">
    <cfRule type="expression" dxfId="541" priority="9482" stopIfTrue="1">
      <formula>AND($B18&lt;&gt;"COMPOSICAO",$B18&lt;&gt;"INSUMO",$B18&lt;&gt;"")</formula>
    </cfRule>
    <cfRule type="expression" dxfId="540" priority="9483" stopIfTrue="1">
      <formula>AND(OR($B18="COMPOSICAO",$B18="INSUMO",$B18&lt;&gt;""),$B18&lt;&gt;"")</formula>
    </cfRule>
  </conditionalFormatting>
  <conditionalFormatting sqref="I18:J18">
    <cfRule type="expression" dxfId="539" priority="9480" stopIfTrue="1">
      <formula>AND($B18&lt;&gt;"COMPOSICAO",$B18&lt;&gt;"INSUMO",$B18&lt;&gt;"")</formula>
    </cfRule>
    <cfRule type="expression" dxfId="538" priority="9481" stopIfTrue="1">
      <formula>AND(OR($B18="COMPOSICAO",$B18="INSUMO",$B18&lt;&gt;""),$B18&lt;&gt;"")</formula>
    </cfRule>
  </conditionalFormatting>
  <conditionalFormatting sqref="B18:C18">
    <cfRule type="expression" dxfId="537" priority="9488" stopIfTrue="1">
      <formula>AND($B18&lt;&gt;"COMPOSICAO",$B18&lt;&gt;"INSUMO",$B18&lt;&gt;"")</formula>
    </cfRule>
    <cfRule type="expression" dxfId="536" priority="9489" stopIfTrue="1">
      <formula>AND(OR($B18="COMPOSICAO",$B18="INSUMO",$B18&lt;&gt;""),$B18&lt;&gt;"")</formula>
    </cfRule>
  </conditionalFormatting>
  <conditionalFormatting sqref="D18">
    <cfRule type="expression" dxfId="535" priority="9486" stopIfTrue="1">
      <formula>AND($B18&lt;&gt;"COMPOSICAO",$B18&lt;&gt;"INSUMO",$B18&lt;&gt;"")</formula>
    </cfRule>
    <cfRule type="expression" dxfId="534" priority="9487" stopIfTrue="1">
      <formula>AND(OR($B18="COMPOSICAO",$B18="INSUMO",$B18&lt;&gt;""),$B18&lt;&gt;"")</formula>
    </cfRule>
  </conditionalFormatting>
  <conditionalFormatting sqref="E18:G18">
    <cfRule type="expression" dxfId="533" priority="9484" stopIfTrue="1">
      <formula>AND($B18&lt;&gt;"COMPOSICAO",$B18&lt;&gt;"INSUMO",$B18&lt;&gt;"")</formula>
    </cfRule>
    <cfRule type="expression" dxfId="532" priority="9485" stopIfTrue="1">
      <formula>AND(OR($B18="COMPOSICAO",$B18="INSUMO",$B18&lt;&gt;""),$B18&lt;&gt;"")</formula>
    </cfRule>
  </conditionalFormatting>
  <conditionalFormatting sqref="H19">
    <cfRule type="expression" dxfId="531" priority="9476" stopIfTrue="1">
      <formula>AND($B19&lt;&gt;"COMPOSICAO",$B19&lt;&gt;"INSUMO",$B19&lt;&gt;"")</formula>
    </cfRule>
    <cfRule type="expression" dxfId="530" priority="9477" stopIfTrue="1">
      <formula>AND(OR($B19="COMPOSICAO",$B19="INSUMO",$B19&lt;&gt;""),$B19&lt;&gt;"")</formula>
    </cfRule>
  </conditionalFormatting>
  <conditionalFormatting sqref="I19:I20">
    <cfRule type="expression" dxfId="529" priority="9474" stopIfTrue="1">
      <formula>AND($B19&lt;&gt;"COMPOSICAO",$B19&lt;&gt;"INSUMO",$B19&lt;&gt;"")</formula>
    </cfRule>
    <cfRule type="expression" dxfId="528" priority="9475" stopIfTrue="1">
      <formula>AND(OR($B19="COMPOSICAO",$B19="INSUMO",$B19&lt;&gt;""),$B19&lt;&gt;"")</formula>
    </cfRule>
  </conditionalFormatting>
  <conditionalFormatting sqref="K19:K20">
    <cfRule type="expression" dxfId="527" priority="9472" stopIfTrue="1">
      <formula>AND($B19&lt;&gt;"COMPOSICAO",$B19&lt;&gt;"INSUMO",$B19&lt;&gt;"")</formula>
    </cfRule>
    <cfRule type="expression" dxfId="526" priority="9473" stopIfTrue="1">
      <formula>AND(OR($B19="COMPOSICAO",$B19="INSUMO",$B19&lt;&gt;""),$B19&lt;&gt;"")</formula>
    </cfRule>
  </conditionalFormatting>
  <conditionalFormatting sqref="I223">
    <cfRule type="expression" dxfId="525" priority="9203" stopIfTrue="1">
      <formula>AND($B223&lt;&gt;"COMPOSICAO",$B223&lt;&gt;"INSUMO",$B223&lt;&gt;"")</formula>
    </cfRule>
    <cfRule type="expression" dxfId="524" priority="9204" stopIfTrue="1">
      <formula>AND(OR($B223="COMPOSICAO",$B223="INSUMO",$B223&lt;&gt;""),$B223&lt;&gt;"")</formula>
    </cfRule>
  </conditionalFormatting>
  <conditionalFormatting sqref="J223">
    <cfRule type="expression" dxfId="523" priority="9201" stopIfTrue="1">
      <formula>AND($B223&lt;&gt;"COMPOSICAO",$B223&lt;&gt;"INSUMO",$B223&lt;&gt;"")</formula>
    </cfRule>
    <cfRule type="expression" dxfId="522" priority="9202" stopIfTrue="1">
      <formula>AND(OR($B223="COMPOSICAO",$B223="INSUMO",$B223&lt;&gt;""),$B223&lt;&gt;"")</formula>
    </cfRule>
  </conditionalFormatting>
  <conditionalFormatting sqref="I181">
    <cfRule type="expression" dxfId="521" priority="8847" stopIfTrue="1">
      <formula>AND($B181&lt;&gt;"COMPOSICAO",$B181&lt;&gt;"INSUMO",$B181&lt;&gt;"")</formula>
    </cfRule>
    <cfRule type="expression" dxfId="520" priority="8848" stopIfTrue="1">
      <formula>AND(OR($B181="COMPOSICAO",$B181="INSUMO",$B181&lt;&gt;""),$B181&lt;&gt;"")</formula>
    </cfRule>
  </conditionalFormatting>
  <conditionalFormatting sqref="J181">
    <cfRule type="expression" dxfId="519" priority="8845" stopIfTrue="1">
      <formula>AND($B181&lt;&gt;"COMPOSICAO",$B181&lt;&gt;"INSUMO",$B181&lt;&gt;"")</formula>
    </cfRule>
    <cfRule type="expression" dxfId="518" priority="8846" stopIfTrue="1">
      <formula>AND(OR($B181="COMPOSICAO",$B181="INSUMO",$B181&lt;&gt;""),$B181&lt;&gt;"")</formula>
    </cfRule>
  </conditionalFormatting>
  <conditionalFormatting sqref="E181">
    <cfRule type="expression" dxfId="517" priority="8843" stopIfTrue="1">
      <formula>AND($B181&lt;&gt;"COMPOSICAO",$B181&lt;&gt;"INSUMO",$B181&lt;&gt;"")</formula>
    </cfRule>
    <cfRule type="expression" dxfId="516" priority="8844" stopIfTrue="1">
      <formula>AND(OR($B181="COMPOSICAO",$B181="INSUMO",$B181&lt;&gt;""),$B181&lt;&gt;"")</formula>
    </cfRule>
  </conditionalFormatting>
  <conditionalFormatting sqref="K182">
    <cfRule type="expression" dxfId="515" priority="8839" stopIfTrue="1">
      <formula>AND($B182&lt;&gt;"COMPOSICAO",$B182&lt;&gt;"INSUMO",$B182&lt;&gt;"")</formula>
    </cfRule>
    <cfRule type="expression" dxfId="514" priority="8840" stopIfTrue="1">
      <formula>AND(OR($B182="COMPOSICAO",$B182="INSUMO",$B182&lt;&gt;""),$B182&lt;&gt;"")</formula>
    </cfRule>
  </conditionalFormatting>
  <conditionalFormatting sqref="C186">
    <cfRule type="expression" dxfId="513" priority="8837" stopIfTrue="1">
      <formula>AND($B186&lt;&gt;"COMPOSICAO",$B186&lt;&gt;"INSUMO",$B186&lt;&gt;"")</formula>
    </cfRule>
    <cfRule type="expression" dxfId="512" priority="8838" stopIfTrue="1">
      <formula>AND(OR($B186="COMPOSICAO",$B186="INSUMO",$B186&lt;&gt;""),$B186&lt;&gt;"")</formula>
    </cfRule>
  </conditionalFormatting>
  <conditionalFormatting sqref="D186">
    <cfRule type="expression" dxfId="511" priority="8835" stopIfTrue="1">
      <formula>AND($B186&lt;&gt;"COMPOSICAO",$B186&lt;&gt;"INSUMO",$B186&lt;&gt;"")</formula>
    </cfRule>
    <cfRule type="expression" dxfId="510" priority="8836" stopIfTrue="1">
      <formula>AND(OR($B186="COMPOSICAO",$B186="INSUMO",$B186&lt;&gt;""),$B186&lt;&gt;"")</formula>
    </cfRule>
  </conditionalFormatting>
  <conditionalFormatting sqref="K13">
    <cfRule type="expression" dxfId="509" priority="8729" stopIfTrue="1">
      <formula>AND($B13&lt;&gt;"COMPOSICAO",$B13&lt;&gt;"INSUMO",$B13&lt;&gt;"")</formula>
    </cfRule>
    <cfRule type="expression" dxfId="508" priority="8730" stopIfTrue="1">
      <formula>AND(OR($B13="COMPOSICAO",$B13="INSUMO",$B13&lt;&gt;""),$B13&lt;&gt;"")</formula>
    </cfRule>
  </conditionalFormatting>
  <conditionalFormatting sqref="K18">
    <cfRule type="expression" dxfId="507" priority="8727" stopIfTrue="1">
      <formula>AND($B18&lt;&gt;"COMPOSICAO",$B18&lt;&gt;"INSUMO",$B18&lt;&gt;"")</formula>
    </cfRule>
    <cfRule type="expression" dxfId="506" priority="8728" stopIfTrue="1">
      <formula>AND(OR($B18="COMPOSICAO",$B18="INSUMO",$B18&lt;&gt;""),$B18&lt;&gt;"")</formula>
    </cfRule>
  </conditionalFormatting>
  <conditionalFormatting sqref="K181">
    <cfRule type="expression" dxfId="505" priority="8717" stopIfTrue="1">
      <formula>AND($B181&lt;&gt;"COMPOSICAO",$B181&lt;&gt;"INSUMO",$B181&lt;&gt;"")</formula>
    </cfRule>
    <cfRule type="expression" dxfId="504" priority="8718" stopIfTrue="1">
      <formula>AND(OR($B181="COMPOSICAO",$B181="INSUMO",$B181&lt;&gt;""),$B181&lt;&gt;"")</formula>
    </cfRule>
  </conditionalFormatting>
  <conditionalFormatting sqref="K223">
    <cfRule type="expression" dxfId="503" priority="8639" stopIfTrue="1">
      <formula>AND($B223&lt;&gt;"COMPOSICAO",$B223&lt;&gt;"INSUMO",$B223&lt;&gt;"")</formula>
    </cfRule>
    <cfRule type="expression" dxfId="502" priority="8640" stopIfTrue="1">
      <formula>AND(OR($B223="COMPOSICAO",$B223="INSUMO",$B223&lt;&gt;""),$B223&lt;&gt;"")</formula>
    </cfRule>
  </conditionalFormatting>
  <conditionalFormatting sqref="H14">
    <cfRule type="expression" dxfId="501" priority="8629" stopIfTrue="1">
      <formula>AND($B14&lt;&gt;"COMPOSICAO",$B14&lt;&gt;"INSUMO",$B14&lt;&gt;"")</formula>
    </cfRule>
    <cfRule type="expression" dxfId="500" priority="8630" stopIfTrue="1">
      <formula>AND(OR($B14="COMPOSICAO",$B14="INSUMO",$B14&lt;&gt;""),$B14&lt;&gt;"")</formula>
    </cfRule>
  </conditionalFormatting>
  <conditionalFormatting sqref="H182">
    <cfRule type="expression" dxfId="499" priority="8625" stopIfTrue="1">
      <formula>AND($B182&lt;&gt;"COMPOSICAO",$B182&lt;&gt;"INSUMO",$B182&lt;&gt;"")</formula>
    </cfRule>
    <cfRule type="expression" dxfId="498" priority="8626" stopIfTrue="1">
      <formula>AND(OR($B182="COMPOSICAO",$B182="INSUMO",$B182&lt;&gt;""),$B182&lt;&gt;"")</formula>
    </cfRule>
  </conditionalFormatting>
  <conditionalFormatting sqref="B196:G196">
    <cfRule type="expression" dxfId="497" priority="8597" stopIfTrue="1">
      <formula>AND($B196&lt;&gt;"COMPOSICAO",$B196&lt;&gt;"INSUMO",$B196&lt;&gt;"")</formula>
    </cfRule>
    <cfRule type="expression" dxfId="496" priority="8598" stopIfTrue="1">
      <formula>AND(OR($B196="COMPOSICAO",$B196="INSUMO",$B196&lt;&gt;""),$B196&lt;&gt;"")</formula>
    </cfRule>
  </conditionalFormatting>
  <conditionalFormatting sqref="H196">
    <cfRule type="expression" dxfId="495" priority="8595" stopIfTrue="1">
      <formula>AND($B196&lt;&gt;"COMPOSICAO",$B196&lt;&gt;"INSUMO",$B196&lt;&gt;"")</formula>
    </cfRule>
    <cfRule type="expression" dxfId="494" priority="8596" stopIfTrue="1">
      <formula>AND(OR($B196="COMPOSICAO",$B196="INSUMO",$B196&lt;&gt;""),$B196&lt;&gt;"")</formula>
    </cfRule>
  </conditionalFormatting>
  <conditionalFormatting sqref="J196">
    <cfRule type="expression" dxfId="493" priority="8591" stopIfTrue="1">
      <formula>AND($B196&lt;&gt;"COMPOSICAO",$B196&lt;&gt;"INSUMO",$B196&lt;&gt;"")</formula>
    </cfRule>
    <cfRule type="expression" dxfId="492" priority="8592" stopIfTrue="1">
      <formula>AND(OR($B196="COMPOSICAO",$B196="INSUMO",$B196&lt;&gt;""),$B196&lt;&gt;"")</formula>
    </cfRule>
  </conditionalFormatting>
  <conditionalFormatting sqref="I196">
    <cfRule type="expression" dxfId="491" priority="8593" stopIfTrue="1">
      <formula>AND($B196&lt;&gt;"COMPOSICAO",$B196&lt;&gt;"INSUMO",$B196&lt;&gt;"")</formula>
    </cfRule>
    <cfRule type="expression" dxfId="490" priority="8594" stopIfTrue="1">
      <formula>AND(OR($B196="COMPOSICAO",$B196="INSUMO",$B196&lt;&gt;""),$B196&lt;&gt;"")</formula>
    </cfRule>
  </conditionalFormatting>
  <conditionalFormatting sqref="K196">
    <cfRule type="expression" dxfId="489" priority="8559" stopIfTrue="1">
      <formula>AND($B196&lt;&gt;"COMPOSICAO",$B196&lt;&gt;"INSUMO",$B196&lt;&gt;"")</formula>
    </cfRule>
    <cfRule type="expression" dxfId="488" priority="8560" stopIfTrue="1">
      <formula>AND(OR($B196="COMPOSICAO",$B196="INSUMO",$B196&lt;&gt;""),$B196&lt;&gt;"")</formula>
    </cfRule>
  </conditionalFormatting>
  <conditionalFormatting sqref="D38:G38 K38">
    <cfRule type="expression" dxfId="487" priority="8529" stopIfTrue="1">
      <formula>AND($B38&lt;&gt;"COMPOSICAO",$B38&lt;&gt;"INSUMO",$B38&lt;&gt;"")</formula>
    </cfRule>
    <cfRule type="expression" dxfId="486" priority="8530" stopIfTrue="1">
      <formula>AND(OR($B38="COMPOSICAO",$B38="INSUMO",$B38&lt;&gt;""),$B38&lt;&gt;"")</formula>
    </cfRule>
  </conditionalFormatting>
  <conditionalFormatting sqref="B34:C34">
    <cfRule type="expression" dxfId="485" priority="8527" stopIfTrue="1">
      <formula>AND($B34&lt;&gt;"COMPOSICAO",$B34&lt;&gt;"INSUMO",$B34&lt;&gt;"")</formula>
    </cfRule>
    <cfRule type="expression" dxfId="484" priority="8528" stopIfTrue="1">
      <formula>AND(OR($B34="COMPOSICAO",$B34="INSUMO",$B34&lt;&gt;""),$B34&lt;&gt;"")</formula>
    </cfRule>
  </conditionalFormatting>
  <conditionalFormatting sqref="D34">
    <cfRule type="expression" dxfId="483" priority="8525" stopIfTrue="1">
      <formula>AND($B34&lt;&gt;"COMPOSICAO",$B34&lt;&gt;"INSUMO",$B34&lt;&gt;"")</formula>
    </cfRule>
    <cfRule type="expression" dxfId="482" priority="8526" stopIfTrue="1">
      <formula>AND(OR($B34="COMPOSICAO",$B34="INSUMO",$B34&lt;&gt;""),$B34&lt;&gt;"")</formula>
    </cfRule>
  </conditionalFormatting>
  <conditionalFormatting sqref="E34:H34">
    <cfRule type="expression" dxfId="481" priority="8523" stopIfTrue="1">
      <formula>AND($B34&lt;&gt;"COMPOSICAO",$B34&lt;&gt;"INSUMO",$B34&lt;&gt;"")</formula>
    </cfRule>
    <cfRule type="expression" dxfId="480" priority="8524" stopIfTrue="1">
      <formula>AND(OR($B34="COMPOSICAO",$B34="INSUMO",$B34&lt;&gt;""),$B34&lt;&gt;"")</formula>
    </cfRule>
  </conditionalFormatting>
  <conditionalFormatting sqref="I34:J34">
    <cfRule type="expression" dxfId="479" priority="8521" stopIfTrue="1">
      <formula>AND($B34&lt;&gt;"COMPOSICAO",$B34&lt;&gt;"INSUMO",$B34&lt;&gt;"")</formula>
    </cfRule>
    <cfRule type="expression" dxfId="478" priority="8522" stopIfTrue="1">
      <formula>AND(OR($B34="COMPOSICAO",$B34="INSUMO",$B34&lt;&gt;""),$B34&lt;&gt;"")</formula>
    </cfRule>
  </conditionalFormatting>
  <conditionalFormatting sqref="D35">
    <cfRule type="expression" dxfId="477" priority="8519" stopIfTrue="1">
      <formula>AND($B35&lt;&gt;"COMPOSICAO",$B35&lt;&gt;"INSUMO",$B35&lt;&gt;"")</formula>
    </cfRule>
    <cfRule type="expression" dxfId="476" priority="8520" stopIfTrue="1">
      <formula>AND(OR($B35="COMPOSICAO",$B35="INSUMO",$B35&lt;&gt;""),$B35&lt;&gt;"")</formula>
    </cfRule>
  </conditionalFormatting>
  <conditionalFormatting sqref="E35:G35">
    <cfRule type="expression" dxfId="475" priority="8517" stopIfTrue="1">
      <formula>AND($B35&lt;&gt;"COMPOSICAO",$B35&lt;&gt;"INSUMO",$B35&lt;&gt;"")</formula>
    </cfRule>
    <cfRule type="expression" dxfId="474" priority="8518" stopIfTrue="1">
      <formula>AND(OR($B35="COMPOSICAO",$B35="INSUMO",$B35&lt;&gt;""),$B35&lt;&gt;"")</formula>
    </cfRule>
  </conditionalFormatting>
  <conditionalFormatting sqref="K35">
    <cfRule type="expression" dxfId="473" priority="8515" stopIfTrue="1">
      <formula>AND($B35&lt;&gt;"COMPOSICAO",$B35&lt;&gt;"INSUMO",$B35&lt;&gt;"")</formula>
    </cfRule>
    <cfRule type="expression" dxfId="472" priority="8516" stopIfTrue="1">
      <formula>AND(OR($B35="COMPOSICAO",$B35="INSUMO",$B35&lt;&gt;""),$B35&lt;&gt;"")</formula>
    </cfRule>
  </conditionalFormatting>
  <conditionalFormatting sqref="B37">
    <cfRule type="expression" dxfId="471" priority="8513" stopIfTrue="1">
      <formula>AND($B37&lt;&gt;"COMPOSICAO",$B37&lt;&gt;"INSUMO",$B37&lt;&gt;"")</formula>
    </cfRule>
    <cfRule type="expression" dxfId="470" priority="8514" stopIfTrue="1">
      <formula>AND(OR($B37="COMPOSICAO",$B37="INSUMO",$B37&lt;&gt;""),$B37&lt;&gt;"")</formula>
    </cfRule>
  </conditionalFormatting>
  <conditionalFormatting sqref="D37">
    <cfRule type="expression" dxfId="469" priority="8511" stopIfTrue="1">
      <formula>AND($B37&lt;&gt;"COMPOSICAO",$B37&lt;&gt;"INSUMO",$B37&lt;&gt;"")</formula>
    </cfRule>
    <cfRule type="expression" dxfId="468" priority="8512" stopIfTrue="1">
      <formula>AND(OR($B37="COMPOSICAO",$B37="INSUMO",$B37&lt;&gt;""),$B37&lt;&gt;"")</formula>
    </cfRule>
  </conditionalFormatting>
  <conditionalFormatting sqref="E37:H37">
    <cfRule type="expression" dxfId="467" priority="8509" stopIfTrue="1">
      <formula>AND($B37&lt;&gt;"COMPOSICAO",$B37&lt;&gt;"INSUMO",$B37&lt;&gt;"")</formula>
    </cfRule>
    <cfRule type="expression" dxfId="466" priority="8510" stopIfTrue="1">
      <formula>AND(OR($B37="COMPOSICAO",$B37="INSUMO",$B37&lt;&gt;""),$B37&lt;&gt;"")</formula>
    </cfRule>
  </conditionalFormatting>
  <conditionalFormatting sqref="I37">
    <cfRule type="expression" dxfId="465" priority="8507" stopIfTrue="1">
      <formula>AND($B37&lt;&gt;"COMPOSICAO",$B37&lt;&gt;"INSUMO",$B37&lt;&gt;"")</formula>
    </cfRule>
    <cfRule type="expression" dxfId="464" priority="8508" stopIfTrue="1">
      <formula>AND(OR($B37="COMPOSICAO",$B37="INSUMO",$B37&lt;&gt;""),$B37&lt;&gt;"")</formula>
    </cfRule>
  </conditionalFormatting>
  <conditionalFormatting sqref="J37">
    <cfRule type="expression" dxfId="463" priority="8505" stopIfTrue="1">
      <formula>AND($B37&lt;&gt;"COMPOSICAO",$B37&lt;&gt;"INSUMO",$B37&lt;&gt;"")</formula>
    </cfRule>
    <cfRule type="expression" dxfId="462" priority="8506" stopIfTrue="1">
      <formula>AND(OR($B37="COMPOSICAO",$B37="INSUMO",$B37&lt;&gt;""),$B37&lt;&gt;"")</formula>
    </cfRule>
  </conditionalFormatting>
  <conditionalFormatting sqref="K34">
    <cfRule type="expression" dxfId="461" priority="8503" stopIfTrue="1">
      <formula>AND($B34&lt;&gt;"COMPOSICAO",$B34&lt;&gt;"INSUMO",$B34&lt;&gt;"")</formula>
    </cfRule>
    <cfRule type="expression" dxfId="460" priority="8504" stopIfTrue="1">
      <formula>AND(OR($B34="COMPOSICAO",$B34="INSUMO",$B34&lt;&gt;""),$B34&lt;&gt;"")</formula>
    </cfRule>
  </conditionalFormatting>
  <conditionalFormatting sqref="K37">
    <cfRule type="expression" dxfId="459" priority="8501" stopIfTrue="1">
      <formula>AND($B37&lt;&gt;"COMPOSICAO",$B37&lt;&gt;"INSUMO",$B37&lt;&gt;"")</formula>
    </cfRule>
    <cfRule type="expression" dxfId="458" priority="8502" stopIfTrue="1">
      <formula>AND(OR($B37="COMPOSICAO",$B37="INSUMO",$B37&lt;&gt;""),$B37&lt;&gt;"")</formula>
    </cfRule>
  </conditionalFormatting>
  <conditionalFormatting sqref="C37">
    <cfRule type="expression" dxfId="457" priority="8499" stopIfTrue="1">
      <formula>AND($B37&lt;&gt;"COMPOSICAO",$B37&lt;&gt;"INSUMO",$B37&lt;&gt;"")</formula>
    </cfRule>
    <cfRule type="expression" dxfId="456" priority="8500" stopIfTrue="1">
      <formula>AND(OR($B37="COMPOSICAO",$B37="INSUMO",$B37&lt;&gt;""),$B37&lt;&gt;"")</formula>
    </cfRule>
  </conditionalFormatting>
  <conditionalFormatting sqref="B40">
    <cfRule type="expression" dxfId="455" priority="8497" stopIfTrue="1">
      <formula>AND($B40&lt;&gt;"COMPOSICAO",$B40&lt;&gt;"INSUMO",$B40&lt;&gt;"")</formula>
    </cfRule>
    <cfRule type="expression" dxfId="454" priority="8498" stopIfTrue="1">
      <formula>AND(OR($B40="COMPOSICAO",$B40="INSUMO",$B40&lt;&gt;""),$B40&lt;&gt;"")</formula>
    </cfRule>
  </conditionalFormatting>
  <conditionalFormatting sqref="C40">
    <cfRule type="expression" dxfId="453" priority="8495" stopIfTrue="1">
      <formula>AND($B40&lt;&gt;"COMPOSICAO",$B40&lt;&gt;"INSUMO",$B40&lt;&gt;"")</formula>
    </cfRule>
    <cfRule type="expression" dxfId="452" priority="8496" stopIfTrue="1">
      <formula>AND(OR($B40="COMPOSICAO",$B40="INSUMO",$B40&lt;&gt;""),$B40&lt;&gt;"")</formula>
    </cfRule>
  </conditionalFormatting>
  <conditionalFormatting sqref="D40">
    <cfRule type="expression" dxfId="451" priority="8493" stopIfTrue="1">
      <formula>AND($B40&lt;&gt;"COMPOSICAO",$B40&lt;&gt;"INSUMO",$B40&lt;&gt;"")</formula>
    </cfRule>
    <cfRule type="expression" dxfId="450" priority="8494" stopIfTrue="1">
      <formula>AND(OR($B40="COMPOSICAO",$B40="INSUMO",$B40&lt;&gt;""),$B40&lt;&gt;"")</formula>
    </cfRule>
  </conditionalFormatting>
  <conditionalFormatting sqref="E40">
    <cfRule type="expression" dxfId="449" priority="8491" stopIfTrue="1">
      <formula>AND($B40&lt;&gt;"COMPOSICAO",$B40&lt;&gt;"INSUMO",$B40&lt;&gt;"")</formula>
    </cfRule>
    <cfRule type="expression" dxfId="448" priority="8492" stopIfTrue="1">
      <formula>AND(OR($B40="COMPOSICAO",$B40="INSUMO",$B40&lt;&gt;""),$B40&lt;&gt;"")</formula>
    </cfRule>
  </conditionalFormatting>
  <conditionalFormatting sqref="F40:H40">
    <cfRule type="expression" dxfId="447" priority="8489" stopIfTrue="1">
      <formula>AND($B40&lt;&gt;"COMPOSICAO",$B40&lt;&gt;"INSUMO",$B40&lt;&gt;"")</formula>
    </cfRule>
    <cfRule type="expression" dxfId="446" priority="8490" stopIfTrue="1">
      <formula>AND(OR($B40="COMPOSICAO",$B40="INSUMO",$B40&lt;&gt;""),$B40&lt;&gt;"")</formula>
    </cfRule>
  </conditionalFormatting>
  <conditionalFormatting sqref="I40">
    <cfRule type="expression" dxfId="445" priority="8487" stopIfTrue="1">
      <formula>AND($B40&lt;&gt;"COMPOSICAO",$B40&lt;&gt;"INSUMO",$B40&lt;&gt;"")</formula>
    </cfRule>
    <cfRule type="expression" dxfId="444" priority="8488" stopIfTrue="1">
      <formula>AND(OR($B40="COMPOSICAO",$B40="INSUMO",$B40&lt;&gt;""),$B40&lt;&gt;"")</formula>
    </cfRule>
  </conditionalFormatting>
  <conditionalFormatting sqref="J40">
    <cfRule type="expression" dxfId="443" priority="8485" stopIfTrue="1">
      <formula>AND($B40&lt;&gt;"COMPOSICAO",$B40&lt;&gt;"INSUMO",$B40&lt;&gt;"")</formula>
    </cfRule>
    <cfRule type="expression" dxfId="442" priority="8486" stopIfTrue="1">
      <formula>AND(OR($B40="COMPOSICAO",$B40="INSUMO",$B40&lt;&gt;""),$B40&lt;&gt;"")</formula>
    </cfRule>
  </conditionalFormatting>
  <conditionalFormatting sqref="K40">
    <cfRule type="expression" dxfId="441" priority="8483" stopIfTrue="1">
      <formula>AND($B40&lt;&gt;"COMPOSICAO",$B40&lt;&gt;"INSUMO",$B40&lt;&gt;"")</formula>
    </cfRule>
    <cfRule type="expression" dxfId="440" priority="8484" stopIfTrue="1">
      <formula>AND(OR($B40="COMPOSICAO",$B40="INSUMO",$B40&lt;&gt;""),$B40&lt;&gt;"")</formula>
    </cfRule>
  </conditionalFormatting>
  <conditionalFormatting sqref="B56:C56">
    <cfRule type="expression" dxfId="439" priority="8481" stopIfTrue="1">
      <formula>AND($B56&lt;&gt;"COMPOSICAO",$B56&lt;&gt;"INSUMO",$B56&lt;&gt;"")</formula>
    </cfRule>
    <cfRule type="expression" dxfId="438" priority="8482" stopIfTrue="1">
      <formula>AND(OR($B56="COMPOSICAO",$B56="INSUMO",$B56&lt;&gt;""),$B56&lt;&gt;"")</formula>
    </cfRule>
  </conditionalFormatting>
  <conditionalFormatting sqref="D56">
    <cfRule type="expression" dxfId="437" priority="8479" stopIfTrue="1">
      <formula>AND($B56&lt;&gt;"COMPOSICAO",$B56&lt;&gt;"INSUMO",$B56&lt;&gt;"")</formula>
    </cfRule>
    <cfRule type="expression" dxfId="436" priority="8480" stopIfTrue="1">
      <formula>AND(OR($B56="COMPOSICAO",$B56="INSUMO",$B56&lt;&gt;""),$B56&lt;&gt;"")</formula>
    </cfRule>
  </conditionalFormatting>
  <conditionalFormatting sqref="E56:H56">
    <cfRule type="expression" dxfId="435" priority="8477" stopIfTrue="1">
      <formula>AND($B56&lt;&gt;"COMPOSICAO",$B56&lt;&gt;"INSUMO",$B56&lt;&gt;"")</formula>
    </cfRule>
    <cfRule type="expression" dxfId="434" priority="8478" stopIfTrue="1">
      <formula>AND(OR($B56="COMPOSICAO",$B56="INSUMO",$B56&lt;&gt;""),$B56&lt;&gt;"")</formula>
    </cfRule>
  </conditionalFormatting>
  <conditionalFormatting sqref="I56">
    <cfRule type="expression" dxfId="433" priority="8475" stopIfTrue="1">
      <formula>AND($B56&lt;&gt;"COMPOSICAO",$B56&lt;&gt;"INSUMO",$B56&lt;&gt;"")</formula>
    </cfRule>
    <cfRule type="expression" dxfId="432" priority="8476" stopIfTrue="1">
      <formula>AND(OR($B56="COMPOSICAO",$B56="INSUMO",$B56&lt;&gt;""),$B56&lt;&gt;"")</formula>
    </cfRule>
  </conditionalFormatting>
  <conditionalFormatting sqref="J56">
    <cfRule type="expression" dxfId="431" priority="8473" stopIfTrue="1">
      <formula>AND($B56&lt;&gt;"COMPOSICAO",$B56&lt;&gt;"INSUMO",$B56&lt;&gt;"")</formula>
    </cfRule>
    <cfRule type="expression" dxfId="430" priority="8474" stopIfTrue="1">
      <formula>AND(OR($B56="COMPOSICAO",$B56="INSUMO",$B56&lt;&gt;""),$B56&lt;&gt;"")</formula>
    </cfRule>
  </conditionalFormatting>
  <conditionalFormatting sqref="B51:C51">
    <cfRule type="expression" dxfId="429" priority="8461" stopIfTrue="1">
      <formula>AND($B51&lt;&gt;"COMPOSICAO",$B51&lt;&gt;"INSUMO",$B51&lt;&gt;"")</formula>
    </cfRule>
    <cfRule type="expression" dxfId="428" priority="8462" stopIfTrue="1">
      <formula>AND(OR($B51="COMPOSICAO",$B51="INSUMO",$B51&lt;&gt;""),$B51&lt;&gt;"")</formula>
    </cfRule>
  </conditionalFormatting>
  <conditionalFormatting sqref="D51">
    <cfRule type="expression" dxfId="427" priority="8459" stopIfTrue="1">
      <formula>AND($B51&lt;&gt;"COMPOSICAO",$B51&lt;&gt;"INSUMO",$B51&lt;&gt;"")</formula>
    </cfRule>
    <cfRule type="expression" dxfId="426" priority="8460" stopIfTrue="1">
      <formula>AND(OR($B51="COMPOSICAO",$B51="INSUMO",$B51&lt;&gt;""),$B51&lt;&gt;"")</formula>
    </cfRule>
  </conditionalFormatting>
  <conditionalFormatting sqref="E51:H51">
    <cfRule type="expression" dxfId="425" priority="8457" stopIfTrue="1">
      <formula>AND($B51&lt;&gt;"COMPOSICAO",$B51&lt;&gt;"INSUMO",$B51&lt;&gt;"")</formula>
    </cfRule>
    <cfRule type="expression" dxfId="424" priority="8458" stopIfTrue="1">
      <formula>AND(OR($B51="COMPOSICAO",$B51="INSUMO",$B51&lt;&gt;""),$B51&lt;&gt;"")</formula>
    </cfRule>
  </conditionalFormatting>
  <conditionalFormatting sqref="I51">
    <cfRule type="expression" dxfId="423" priority="8455" stopIfTrue="1">
      <formula>AND($B51&lt;&gt;"COMPOSICAO",$B51&lt;&gt;"INSUMO",$B51&lt;&gt;"")</formula>
    </cfRule>
    <cfRule type="expression" dxfId="422" priority="8456" stopIfTrue="1">
      <formula>AND(OR($B51="COMPOSICAO",$B51="INSUMO",$B51&lt;&gt;""),$B51&lt;&gt;"")</formula>
    </cfRule>
  </conditionalFormatting>
  <conditionalFormatting sqref="J51">
    <cfRule type="expression" dxfId="421" priority="8453" stopIfTrue="1">
      <formula>AND($B51&lt;&gt;"COMPOSICAO",$B51&lt;&gt;"INSUMO",$B51&lt;&gt;"")</formula>
    </cfRule>
    <cfRule type="expression" dxfId="420" priority="8454" stopIfTrue="1">
      <formula>AND(OR($B51="COMPOSICAO",$B51="INSUMO",$B51&lt;&gt;""),$B51&lt;&gt;"")</formula>
    </cfRule>
  </conditionalFormatting>
  <conditionalFormatting sqref="I66">
    <cfRule type="expression" dxfId="419" priority="8427" stopIfTrue="1">
      <formula>AND($B66&lt;&gt;"COMPOSICAO",$B66&lt;&gt;"INSUMO",$B66&lt;&gt;"")</formula>
    </cfRule>
    <cfRule type="expression" dxfId="418" priority="8428" stopIfTrue="1">
      <formula>AND(OR($B66="COMPOSICAO",$B66="INSUMO",$B66&lt;&gt;""),$B66&lt;&gt;"")</formula>
    </cfRule>
  </conditionalFormatting>
  <conditionalFormatting sqref="J66">
    <cfRule type="expression" dxfId="417" priority="8425" stopIfTrue="1">
      <formula>AND($B66&lt;&gt;"COMPOSICAO",$B66&lt;&gt;"INSUMO",$B66&lt;&gt;"")</formula>
    </cfRule>
    <cfRule type="expression" dxfId="416" priority="8426" stopIfTrue="1">
      <formula>AND(OR($B66="COMPOSICAO",$B66="INSUMO",$B66&lt;&gt;""),$B66&lt;&gt;"")</formula>
    </cfRule>
  </conditionalFormatting>
  <conditionalFormatting sqref="C68:C69 B234:F234 B240:F244 F231:F234">
    <cfRule type="expression" dxfId="415" priority="8423" stopIfTrue="1">
      <formula>AND($A68&lt;&gt;"COMPOSICAO",$A68&lt;&gt;"INSUMO",$A68&lt;&gt;"")</formula>
    </cfRule>
    <cfRule type="expression" dxfId="414" priority="8424" stopIfTrue="1">
      <formula>AND(OR($A68="COMPOSICAO",$A68="INSUMO",$A68&lt;&gt;""),$A68&lt;&gt;"")</formula>
    </cfRule>
  </conditionalFormatting>
  <conditionalFormatting sqref="K66">
    <cfRule type="expression" dxfId="413" priority="8411" stopIfTrue="1">
      <formula>AND($B66&lt;&gt;"COMPOSICAO",$B66&lt;&gt;"INSUMO",$B66&lt;&gt;"")</formula>
    </cfRule>
    <cfRule type="expression" dxfId="412" priority="8412" stopIfTrue="1">
      <formula>AND(OR($B66="COMPOSICAO",$B66="INSUMO",$B66&lt;&gt;""),$B66&lt;&gt;"")</formula>
    </cfRule>
  </conditionalFormatting>
  <conditionalFormatting sqref="K51">
    <cfRule type="expression" dxfId="411" priority="8421" stopIfTrue="1">
      <formula>AND($B51&lt;&gt;"COMPOSICAO",$B51&lt;&gt;"INSUMO",$B51&lt;&gt;"")</formula>
    </cfRule>
    <cfRule type="expression" dxfId="410" priority="8422" stopIfTrue="1">
      <formula>AND(OR($B51="COMPOSICAO",$B51="INSUMO",$B51&lt;&gt;""),$B51&lt;&gt;"")</formula>
    </cfRule>
  </conditionalFormatting>
  <conditionalFormatting sqref="K56">
    <cfRule type="expression" dxfId="409" priority="8419" stopIfTrue="1">
      <formula>AND($B56&lt;&gt;"COMPOSICAO",$B56&lt;&gt;"INSUMO",$B56&lt;&gt;"")</formula>
    </cfRule>
    <cfRule type="expression" dxfId="408" priority="8420" stopIfTrue="1">
      <formula>AND(OR($B56="COMPOSICAO",$B56="INSUMO",$B56&lt;&gt;""),$B56&lt;&gt;"")</formula>
    </cfRule>
  </conditionalFormatting>
  <conditionalFormatting sqref="I71">
    <cfRule type="expression" dxfId="407" priority="8401" stopIfTrue="1">
      <formula>AND($B71&lt;&gt;"COMPOSICAO",$B71&lt;&gt;"INSUMO",$B71&lt;&gt;"")</formula>
    </cfRule>
    <cfRule type="expression" dxfId="406" priority="8402" stopIfTrue="1">
      <formula>AND(OR($B71="COMPOSICAO",$B71="INSUMO",$B71&lt;&gt;""),$B71&lt;&gt;"")</formula>
    </cfRule>
  </conditionalFormatting>
  <conditionalFormatting sqref="J71">
    <cfRule type="expression" dxfId="405" priority="8399" stopIfTrue="1">
      <formula>AND($B71&lt;&gt;"COMPOSICAO",$B71&lt;&gt;"INSUMO",$B71&lt;&gt;"")</formula>
    </cfRule>
    <cfRule type="expression" dxfId="404" priority="8400" stopIfTrue="1">
      <formula>AND(OR($B71="COMPOSICAO",$B71="INSUMO",$B71&lt;&gt;""),$B71&lt;&gt;"")</formula>
    </cfRule>
  </conditionalFormatting>
  <conditionalFormatting sqref="C72:C74">
    <cfRule type="expression" dxfId="403" priority="8397" stopIfTrue="1">
      <formula>AND($A72&lt;&gt;"COMPOSICAO",$A72&lt;&gt;"INSUMO",$A72&lt;&gt;"")</formula>
    </cfRule>
    <cfRule type="expression" dxfId="402" priority="8398" stopIfTrue="1">
      <formula>AND(OR($A72="COMPOSICAO",$A72="INSUMO",$A72&lt;&gt;""),$A72&lt;&gt;"")</formula>
    </cfRule>
  </conditionalFormatting>
  <conditionalFormatting sqref="D72:D73">
    <cfRule type="expression" dxfId="401" priority="8395" stopIfTrue="1">
      <formula>AND($B72&lt;&gt;"COMPOSICAO",$B72&lt;&gt;"INSUMO",$B72&lt;&gt;"")</formula>
    </cfRule>
    <cfRule type="expression" dxfId="400" priority="8396" stopIfTrue="1">
      <formula>AND(OR($B72="COMPOSICAO",$B72="INSUMO",$B72&lt;&gt;""),$B72&lt;&gt;"")</formula>
    </cfRule>
  </conditionalFormatting>
  <conditionalFormatting sqref="K71">
    <cfRule type="expression" dxfId="399" priority="8393" stopIfTrue="1">
      <formula>AND($B71&lt;&gt;"COMPOSICAO",$B71&lt;&gt;"INSUMO",$B71&lt;&gt;"")</formula>
    </cfRule>
    <cfRule type="expression" dxfId="398" priority="8394" stopIfTrue="1">
      <formula>AND(OR($B71="COMPOSICAO",$B71="INSUMO",$B71&lt;&gt;""),$B71&lt;&gt;"")</formula>
    </cfRule>
  </conditionalFormatting>
  <conditionalFormatting sqref="I76">
    <cfRule type="expression" dxfId="397" priority="8381" stopIfTrue="1">
      <formula>AND($B76&lt;&gt;"COMPOSICAO",$B76&lt;&gt;"INSUMO",$B76&lt;&gt;"")</formula>
    </cfRule>
    <cfRule type="expression" dxfId="396" priority="8382" stopIfTrue="1">
      <formula>AND(OR($B76="COMPOSICAO",$B76="INSUMO",$B76&lt;&gt;""),$B76&lt;&gt;"")</formula>
    </cfRule>
  </conditionalFormatting>
  <conditionalFormatting sqref="J76">
    <cfRule type="expression" dxfId="395" priority="8379" stopIfTrue="1">
      <formula>AND($B76&lt;&gt;"COMPOSICAO",$B76&lt;&gt;"INSUMO",$B76&lt;&gt;"")</formula>
    </cfRule>
    <cfRule type="expression" dxfId="394" priority="8380" stopIfTrue="1">
      <formula>AND(OR($B76="COMPOSICAO",$B76="INSUMO",$B76&lt;&gt;""),$B76&lt;&gt;"")</formula>
    </cfRule>
  </conditionalFormatting>
  <conditionalFormatting sqref="C77:C79">
    <cfRule type="expression" dxfId="393" priority="8377" stopIfTrue="1">
      <formula>AND($A77&lt;&gt;"COMPOSICAO",$A77&lt;&gt;"INSUMO",$A77&lt;&gt;"")</formula>
    </cfRule>
    <cfRule type="expression" dxfId="392" priority="8378" stopIfTrue="1">
      <formula>AND(OR($A77="COMPOSICAO",$A77="INSUMO",$A77&lt;&gt;""),$A77&lt;&gt;"")</formula>
    </cfRule>
  </conditionalFormatting>
  <conditionalFormatting sqref="D77:D79">
    <cfRule type="expression" dxfId="391" priority="8375" stopIfTrue="1">
      <formula>AND($B77&lt;&gt;"COMPOSICAO",$B77&lt;&gt;"INSUMO",$B77&lt;&gt;"")</formula>
    </cfRule>
    <cfRule type="expression" dxfId="390" priority="8376" stopIfTrue="1">
      <formula>AND(OR($B77="COMPOSICAO",$B77="INSUMO",$B77&lt;&gt;""),$B77&lt;&gt;"")</formula>
    </cfRule>
  </conditionalFormatting>
  <conditionalFormatting sqref="K76">
    <cfRule type="expression" dxfId="389" priority="8373" stopIfTrue="1">
      <formula>AND($B76&lt;&gt;"COMPOSICAO",$B76&lt;&gt;"INSUMO",$B76&lt;&gt;"")</formula>
    </cfRule>
    <cfRule type="expression" dxfId="388" priority="8374" stopIfTrue="1">
      <formula>AND(OR($B76="COMPOSICAO",$B76="INSUMO",$B76&lt;&gt;""),$B76&lt;&gt;"")</formula>
    </cfRule>
  </conditionalFormatting>
  <conditionalFormatting sqref="I93">
    <cfRule type="expression" dxfId="387" priority="8316" stopIfTrue="1">
      <formula>AND($B93&lt;&gt;"COMPOSICAO",$B93&lt;&gt;"INSUMO",$B93&lt;&gt;"")</formula>
    </cfRule>
    <cfRule type="expression" dxfId="386" priority="8317" stopIfTrue="1">
      <formula>AND(OR($B93="COMPOSICAO",$B93="INSUMO",$B93&lt;&gt;""),$B93&lt;&gt;"")</formula>
    </cfRule>
  </conditionalFormatting>
  <conditionalFormatting sqref="E81:H81">
    <cfRule type="expression" dxfId="385" priority="8342" stopIfTrue="1">
      <formula>AND($B81&lt;&gt;"COMPOSICAO",$B81&lt;&gt;"INSUMO",$B81&lt;&gt;"")</formula>
    </cfRule>
    <cfRule type="expression" dxfId="384" priority="8343" stopIfTrue="1">
      <formula>AND(OR($B81="COMPOSICAO",$B81="INSUMO",$B81&lt;&gt;""),$B81&lt;&gt;"")</formula>
    </cfRule>
  </conditionalFormatting>
  <conditionalFormatting sqref="B104:G104">
    <cfRule type="expression" dxfId="383" priority="8350" stopIfTrue="1">
      <formula>AND($A104&lt;&gt;"COMPOSICAO",$A104&lt;&gt;"INSUMO",$A104&lt;&gt;"")</formula>
    </cfRule>
    <cfRule type="expression" dxfId="382" priority="8351" stopIfTrue="1">
      <formula>AND(OR($A104="COMPOSICAO",$A104="INSUMO",$A104&lt;&gt;""),$A104&lt;&gt;"")</formula>
    </cfRule>
  </conditionalFormatting>
  <conditionalFormatting sqref="B92:G92">
    <cfRule type="expression" dxfId="381" priority="8348" stopIfTrue="1">
      <formula>AND($A92&lt;&gt;"COMPOSICAO",$A92&lt;&gt;"INSUMO",$A92&lt;&gt;"")</formula>
    </cfRule>
    <cfRule type="expression" dxfId="380" priority="8349" stopIfTrue="1">
      <formula>AND(OR($A92="COMPOSICAO",$A92="INSUMO",$A92&lt;&gt;""),$A92&lt;&gt;"")</formula>
    </cfRule>
  </conditionalFormatting>
  <conditionalFormatting sqref="D81">
    <cfRule type="expression" dxfId="379" priority="8344" stopIfTrue="1">
      <formula>AND($B81&lt;&gt;"COMPOSICAO",$B81&lt;&gt;"INSUMO",$B81&lt;&gt;"")</formula>
    </cfRule>
    <cfRule type="expression" dxfId="378" priority="8345" stopIfTrue="1">
      <formula>AND(OR($B81="COMPOSICAO",$B81="INSUMO",$B81&lt;&gt;""),$B81&lt;&gt;"")</formula>
    </cfRule>
  </conditionalFormatting>
  <conditionalFormatting sqref="B81">
    <cfRule type="expression" dxfId="377" priority="8346" stopIfTrue="1">
      <formula>AND($B81&lt;&gt;"COMPOSICAO",$B81&lt;&gt;"INSUMO",$B81&lt;&gt;"")</formula>
    </cfRule>
    <cfRule type="expression" dxfId="376" priority="8347" stopIfTrue="1">
      <formula>AND(OR($B81="COMPOSICAO",$B81="INSUMO",$B81&lt;&gt;""),$B81&lt;&gt;"")</formula>
    </cfRule>
  </conditionalFormatting>
  <conditionalFormatting sqref="I81">
    <cfRule type="expression" dxfId="375" priority="8340" stopIfTrue="1">
      <formula>AND($B81&lt;&gt;"COMPOSICAO",$B81&lt;&gt;"INSUMO",$B81&lt;&gt;"")</formula>
    </cfRule>
    <cfRule type="expression" dxfId="374" priority="8341" stopIfTrue="1">
      <formula>AND(OR($B81="COMPOSICAO",$B81="INSUMO",$B81&lt;&gt;""),$B81&lt;&gt;"")</formula>
    </cfRule>
  </conditionalFormatting>
  <conditionalFormatting sqref="J81">
    <cfRule type="expression" dxfId="373" priority="8338" stopIfTrue="1">
      <formula>AND($B81&lt;&gt;"COMPOSICAO",$B81&lt;&gt;"INSUMO",$B81&lt;&gt;"")</formula>
    </cfRule>
    <cfRule type="expression" dxfId="372" priority="8339" stopIfTrue="1">
      <formula>AND(OR($B81="COMPOSICAO",$B81="INSUMO",$B81&lt;&gt;""),$B81&lt;&gt;"")</formula>
    </cfRule>
  </conditionalFormatting>
  <conditionalFormatting sqref="C81">
    <cfRule type="expression" dxfId="371" priority="8324" stopIfTrue="1">
      <formula>AND($B81&lt;&gt;"COMPOSICAO",$B81&lt;&gt;"INSUMO",$B81&lt;&gt;"")</formula>
    </cfRule>
    <cfRule type="expression" dxfId="370" priority="8325" stopIfTrue="1">
      <formula>AND(OR($B81="COMPOSICAO",$B81="INSUMO",$B81&lt;&gt;""),$B81&lt;&gt;"")</formula>
    </cfRule>
  </conditionalFormatting>
  <conditionalFormatting sqref="J93">
    <cfRule type="expression" dxfId="369" priority="8314" stopIfTrue="1">
      <formula>AND($B93&lt;&gt;"COMPOSICAO",$B93&lt;&gt;"INSUMO",$B93&lt;&gt;"")</formula>
    </cfRule>
    <cfRule type="expression" dxfId="368" priority="8315" stopIfTrue="1">
      <formula>AND(OR($B93="COMPOSICAO",$B93="INSUMO",$B93&lt;&gt;""),$B93&lt;&gt;"")</formula>
    </cfRule>
  </conditionalFormatting>
  <conditionalFormatting sqref="D93">
    <cfRule type="expression" dxfId="367" priority="8322" stopIfTrue="1">
      <formula>AND($B93&lt;&gt;"COMPOSICAO",$B93&lt;&gt;"INSUMO",$B93&lt;&gt;"")</formula>
    </cfRule>
    <cfRule type="expression" dxfId="366" priority="8323" stopIfTrue="1">
      <formula>AND(OR($B93="COMPOSICAO",$B93="INSUMO",$B93&lt;&gt;""),$B93&lt;&gt;"")</formula>
    </cfRule>
  </conditionalFormatting>
  <conditionalFormatting sqref="B93:C93">
    <cfRule type="expression" dxfId="365" priority="8320" stopIfTrue="1">
      <formula>AND($B93&lt;&gt;"COMPOSICAO",$B93&lt;&gt;"INSUMO",$B93&lt;&gt;"")</formula>
    </cfRule>
    <cfRule type="expression" dxfId="364" priority="8321" stopIfTrue="1">
      <formula>AND(OR($B93="COMPOSICAO",$B93="INSUMO",$B93&lt;&gt;""),$B93&lt;&gt;"")</formula>
    </cfRule>
  </conditionalFormatting>
  <conditionalFormatting sqref="E93:H93">
    <cfRule type="expression" dxfId="363" priority="8318" stopIfTrue="1">
      <formula>AND($B93&lt;&gt;"COMPOSICAO",$B93&lt;&gt;"INSUMO",$B93&lt;&gt;"")</formula>
    </cfRule>
    <cfRule type="expression" dxfId="362" priority="8319" stopIfTrue="1">
      <formula>AND(OR($B93="COMPOSICAO",$B93="INSUMO",$B93&lt;&gt;""),$B93&lt;&gt;"")</formula>
    </cfRule>
  </conditionalFormatting>
  <conditionalFormatting sqref="B105:C105">
    <cfRule type="expression" dxfId="361" priority="8312" stopIfTrue="1">
      <formula>AND($B105&lt;&gt;"COMPOSICAO",$B105&lt;&gt;"INSUMO",$B105&lt;&gt;"")</formula>
    </cfRule>
    <cfRule type="expression" dxfId="360" priority="8313" stopIfTrue="1">
      <formula>AND(OR($B105="COMPOSICAO",$B105="INSUMO",$B105&lt;&gt;""),$B105&lt;&gt;"")</formula>
    </cfRule>
  </conditionalFormatting>
  <conditionalFormatting sqref="D105">
    <cfRule type="expression" dxfId="359" priority="8310" stopIfTrue="1">
      <formula>AND($B105&lt;&gt;"COMPOSICAO",$B105&lt;&gt;"INSUMO",$B105&lt;&gt;"")</formula>
    </cfRule>
    <cfRule type="expression" dxfId="358" priority="8311" stopIfTrue="1">
      <formula>AND(OR($B105="COMPOSICAO",$B105="INSUMO",$B105&lt;&gt;""),$B105&lt;&gt;"")</formula>
    </cfRule>
  </conditionalFormatting>
  <conditionalFormatting sqref="I105">
    <cfRule type="expression" dxfId="357" priority="8306" stopIfTrue="1">
      <formula>AND($B105&lt;&gt;"COMPOSICAO",$B105&lt;&gt;"INSUMO",$B105&lt;&gt;"")</formula>
    </cfRule>
    <cfRule type="expression" dxfId="356" priority="8307" stopIfTrue="1">
      <formula>AND(OR($B105="COMPOSICAO",$B105="INSUMO",$B105&lt;&gt;""),$B105&lt;&gt;"")</formula>
    </cfRule>
  </conditionalFormatting>
  <conditionalFormatting sqref="E105:H105">
    <cfRule type="expression" dxfId="355" priority="8308" stopIfTrue="1">
      <formula>AND($B105&lt;&gt;"COMPOSICAO",$B105&lt;&gt;"INSUMO",$B105&lt;&gt;"")</formula>
    </cfRule>
    <cfRule type="expression" dxfId="354" priority="8309" stopIfTrue="1">
      <formula>AND(OR($B105="COMPOSICAO",$B105="INSUMO",$B105&lt;&gt;""),$B105&lt;&gt;"")</formula>
    </cfRule>
  </conditionalFormatting>
  <conditionalFormatting sqref="J105">
    <cfRule type="expression" dxfId="353" priority="8304" stopIfTrue="1">
      <formula>AND($B105&lt;&gt;"COMPOSICAO",$B105&lt;&gt;"INSUMO",$B105&lt;&gt;"")</formula>
    </cfRule>
    <cfRule type="expression" dxfId="352" priority="8305" stopIfTrue="1">
      <formula>AND(OR($B105="COMPOSICAO",$B105="INSUMO",$B105&lt;&gt;""),$B105&lt;&gt;"")</formula>
    </cfRule>
  </conditionalFormatting>
  <conditionalFormatting sqref="B110:C110">
    <cfRule type="expression" dxfId="351" priority="8302" stopIfTrue="1">
      <formula>AND($B110&lt;&gt;"COMPOSICAO",$B110&lt;&gt;"INSUMO",$B110&lt;&gt;"")</formula>
    </cfRule>
    <cfRule type="expression" dxfId="350" priority="8303" stopIfTrue="1">
      <formula>AND(OR($B110="COMPOSICAO",$B110="INSUMO",$B110&lt;&gt;""),$B110&lt;&gt;"")</formula>
    </cfRule>
  </conditionalFormatting>
  <conditionalFormatting sqref="D110">
    <cfRule type="expression" dxfId="349" priority="8300" stopIfTrue="1">
      <formula>AND($B110&lt;&gt;"COMPOSICAO",$B110&lt;&gt;"INSUMO",$B110&lt;&gt;"")</formula>
    </cfRule>
    <cfRule type="expression" dxfId="348" priority="8301" stopIfTrue="1">
      <formula>AND(OR($B110="COMPOSICAO",$B110="INSUMO",$B110&lt;&gt;""),$B110&lt;&gt;"")</formula>
    </cfRule>
  </conditionalFormatting>
  <conditionalFormatting sqref="J110">
    <cfRule type="expression" dxfId="347" priority="8296" stopIfTrue="1">
      <formula>AND($B110&lt;&gt;"COMPOSICAO",$B110&lt;&gt;"INSUMO",$B110&lt;&gt;"")</formula>
    </cfRule>
    <cfRule type="expression" dxfId="346" priority="8297" stopIfTrue="1">
      <formula>AND(OR($B110="COMPOSICAO",$B110="INSUMO",$B110&lt;&gt;""),$B110&lt;&gt;"")</formula>
    </cfRule>
  </conditionalFormatting>
  <conditionalFormatting sqref="E110:H110">
    <cfRule type="expression" dxfId="345" priority="8298" stopIfTrue="1">
      <formula>AND($B110&lt;&gt;"COMPOSICAO",$B110&lt;&gt;"INSUMO",$B110&lt;&gt;"")</formula>
    </cfRule>
    <cfRule type="expression" dxfId="344" priority="8299" stopIfTrue="1">
      <formula>AND(OR($B110="COMPOSICAO",$B110="INSUMO",$B110&lt;&gt;""),$B110&lt;&gt;"")</formula>
    </cfRule>
  </conditionalFormatting>
  <conditionalFormatting sqref="I110">
    <cfRule type="expression" dxfId="343" priority="8294" stopIfTrue="1">
      <formula>AND($B110&lt;&gt;"COMPOSICAO",$B110&lt;&gt;"INSUMO",$B110&lt;&gt;"")</formula>
    </cfRule>
    <cfRule type="expression" dxfId="342" priority="8295" stopIfTrue="1">
      <formula>AND(OR($B110="COMPOSICAO",$B110="INSUMO",$B110&lt;&gt;""),$B110&lt;&gt;"")</formula>
    </cfRule>
  </conditionalFormatting>
  <conditionalFormatting sqref="I122">
    <cfRule type="expression" dxfId="341" priority="8290" stopIfTrue="1">
      <formula>AND($B122&lt;&gt;"COMPOSICAO",$B122&lt;&gt;"INSUMO",$B122&lt;&gt;"")</formula>
    </cfRule>
    <cfRule type="expression" dxfId="340" priority="8291" stopIfTrue="1">
      <formula>AND(OR($B122="COMPOSICAO",$B122="INSUMO",$B122&lt;&gt;""),$B122&lt;&gt;"")</formula>
    </cfRule>
  </conditionalFormatting>
  <conditionalFormatting sqref="J122">
    <cfRule type="expression" dxfId="339" priority="8288" stopIfTrue="1">
      <formula>AND($B122&lt;&gt;"COMPOSICAO",$B122&lt;&gt;"INSUMO",$B122&lt;&gt;"")</formula>
    </cfRule>
    <cfRule type="expression" dxfId="338" priority="8289" stopIfTrue="1">
      <formula>AND(OR($B122="COMPOSICAO",$B122="INSUMO",$B122&lt;&gt;""),$B122&lt;&gt;"")</formula>
    </cfRule>
  </conditionalFormatting>
  <conditionalFormatting sqref="I126">
    <cfRule type="expression" dxfId="337" priority="8286" stopIfTrue="1">
      <formula>AND($B126&lt;&gt;"COMPOSICAO",$B126&lt;&gt;"INSUMO",$B126&lt;&gt;"")</formula>
    </cfRule>
    <cfRule type="expression" dxfId="336" priority="8287" stopIfTrue="1">
      <formula>AND(OR($B126="COMPOSICAO",$B126="INSUMO",$B126&lt;&gt;""),$B126&lt;&gt;"")</formula>
    </cfRule>
  </conditionalFormatting>
  <conditionalFormatting sqref="J126">
    <cfRule type="expression" dxfId="335" priority="8284" stopIfTrue="1">
      <formula>AND($B126&lt;&gt;"COMPOSICAO",$B126&lt;&gt;"INSUMO",$B126&lt;&gt;"")</formula>
    </cfRule>
    <cfRule type="expression" dxfId="334" priority="8285" stopIfTrue="1">
      <formula>AND(OR($B126="COMPOSICAO",$B126="INSUMO",$B126&lt;&gt;""),$B126&lt;&gt;"")</formula>
    </cfRule>
  </conditionalFormatting>
  <conditionalFormatting sqref="B133">
    <cfRule type="expression" dxfId="333" priority="8282" stopIfTrue="1">
      <formula>AND($B133&lt;&gt;"COMPOSICAO",$B133&lt;&gt;"INSUMO",$B133&lt;&gt;"")</formula>
    </cfRule>
    <cfRule type="expression" dxfId="332" priority="8283" stopIfTrue="1">
      <formula>AND(OR($B133="COMPOSICAO",$B133="INSUMO",$B133&lt;&gt;""),$B133&lt;&gt;"")</formula>
    </cfRule>
  </conditionalFormatting>
  <conditionalFormatting sqref="D133">
    <cfRule type="expression" dxfId="331" priority="8280" stopIfTrue="1">
      <formula>AND($B133&lt;&gt;"COMPOSICAO",$B133&lt;&gt;"INSUMO",$B133&lt;&gt;"")</formula>
    </cfRule>
    <cfRule type="expression" dxfId="330" priority="8281" stopIfTrue="1">
      <formula>AND(OR($B133="COMPOSICAO",$B133="INSUMO",$B133&lt;&gt;""),$B133&lt;&gt;"")</formula>
    </cfRule>
  </conditionalFormatting>
  <conditionalFormatting sqref="I133">
    <cfRule type="expression" dxfId="329" priority="8276" stopIfTrue="1">
      <formula>AND($B133&lt;&gt;"COMPOSICAO",$B133&lt;&gt;"INSUMO",$B133&lt;&gt;"")</formula>
    </cfRule>
    <cfRule type="expression" dxfId="328" priority="8277" stopIfTrue="1">
      <formula>AND(OR($B133="COMPOSICAO",$B133="INSUMO",$B133&lt;&gt;""),$B133&lt;&gt;"")</formula>
    </cfRule>
  </conditionalFormatting>
  <conditionalFormatting sqref="E133:H133">
    <cfRule type="expression" dxfId="327" priority="8278" stopIfTrue="1">
      <formula>AND($B133&lt;&gt;"COMPOSICAO",$B133&lt;&gt;"INSUMO",$B133&lt;&gt;"")</formula>
    </cfRule>
    <cfRule type="expression" dxfId="326" priority="8279" stopIfTrue="1">
      <formula>AND(OR($B133="COMPOSICAO",$B133="INSUMO",$B133&lt;&gt;""),$B133&lt;&gt;"")</formula>
    </cfRule>
  </conditionalFormatting>
  <conditionalFormatting sqref="J133">
    <cfRule type="expression" dxfId="325" priority="8274" stopIfTrue="1">
      <formula>AND($B133&lt;&gt;"COMPOSICAO",$B133&lt;&gt;"INSUMO",$B133&lt;&gt;"")</formula>
    </cfRule>
    <cfRule type="expression" dxfId="324" priority="8275" stopIfTrue="1">
      <formula>AND(OR($B133="COMPOSICAO",$B133="INSUMO",$B133&lt;&gt;""),$B133&lt;&gt;"")</formula>
    </cfRule>
  </conditionalFormatting>
  <conditionalFormatting sqref="C133">
    <cfRule type="expression" dxfId="323" priority="8272" stopIfTrue="1">
      <formula>AND($B133&lt;&gt;"COMPOSICAO",$B133&lt;&gt;"INSUMO",$B133&lt;&gt;"")</formula>
    </cfRule>
    <cfRule type="expression" dxfId="322" priority="8273" stopIfTrue="1">
      <formula>AND(OR($B133="COMPOSICAO",$B133="INSUMO",$B133&lt;&gt;""),$B133&lt;&gt;"")</formula>
    </cfRule>
  </conditionalFormatting>
  <conditionalFormatting sqref="K114:K115 K132 K121">
    <cfRule type="dataBar" priority="836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{E4572582-8AF6-4CA2-AC23-D42FF1F2F485}</x14:id>
        </ext>
      </extLst>
    </cfRule>
  </conditionalFormatting>
  <conditionalFormatting sqref="K81">
    <cfRule type="expression" dxfId="321" priority="8256" stopIfTrue="1">
      <formula>AND($B81&lt;&gt;"COMPOSICAO",$B81&lt;&gt;"INSUMO",$B81&lt;&gt;"")</formula>
    </cfRule>
    <cfRule type="expression" dxfId="320" priority="8257" stopIfTrue="1">
      <formula>AND(OR($B81="COMPOSICAO",$B81="INSUMO",$B81&lt;&gt;""),$B81&lt;&gt;"")</formula>
    </cfRule>
  </conditionalFormatting>
  <conditionalFormatting sqref="K93">
    <cfRule type="expression" dxfId="319" priority="8252" stopIfTrue="1">
      <formula>AND($B93&lt;&gt;"COMPOSICAO",$B93&lt;&gt;"INSUMO",$B93&lt;&gt;"")</formula>
    </cfRule>
    <cfRule type="expression" dxfId="318" priority="8253" stopIfTrue="1">
      <formula>AND(OR($B93="COMPOSICAO",$B93="INSUMO",$B93&lt;&gt;""),$B93&lt;&gt;"")</formula>
    </cfRule>
  </conditionalFormatting>
  <conditionalFormatting sqref="K105">
    <cfRule type="expression" dxfId="317" priority="8250" stopIfTrue="1">
      <formula>AND($B105&lt;&gt;"COMPOSICAO",$B105&lt;&gt;"INSUMO",$B105&lt;&gt;"")</formula>
    </cfRule>
    <cfRule type="expression" dxfId="316" priority="8251" stopIfTrue="1">
      <formula>AND(OR($B105="COMPOSICAO",$B105="INSUMO",$B105&lt;&gt;""),$B105&lt;&gt;"")</formula>
    </cfRule>
  </conditionalFormatting>
  <conditionalFormatting sqref="K110">
    <cfRule type="expression" dxfId="315" priority="8248" stopIfTrue="1">
      <formula>AND($B110&lt;&gt;"COMPOSICAO",$B110&lt;&gt;"INSUMO",$B110&lt;&gt;"")</formula>
    </cfRule>
    <cfRule type="expression" dxfId="314" priority="8249" stopIfTrue="1">
      <formula>AND(OR($B110="COMPOSICAO",$B110="INSUMO",$B110&lt;&gt;""),$B110&lt;&gt;"")</formula>
    </cfRule>
  </conditionalFormatting>
  <conditionalFormatting sqref="K122">
    <cfRule type="expression" dxfId="313" priority="8246" stopIfTrue="1">
      <formula>AND($B122&lt;&gt;"COMPOSICAO",$B122&lt;&gt;"INSUMO",$B122&lt;&gt;"")</formula>
    </cfRule>
    <cfRule type="expression" dxfId="312" priority="8247" stopIfTrue="1">
      <formula>AND(OR($B122="COMPOSICAO",$B122="INSUMO",$B122&lt;&gt;""),$B122&lt;&gt;"")</formula>
    </cfRule>
  </conditionalFormatting>
  <conditionalFormatting sqref="K126">
    <cfRule type="expression" dxfId="311" priority="8244" stopIfTrue="1">
      <formula>AND($B126&lt;&gt;"COMPOSICAO",$B126&lt;&gt;"INSUMO",$B126&lt;&gt;"")</formula>
    </cfRule>
    <cfRule type="expression" dxfId="310" priority="8245" stopIfTrue="1">
      <formula>AND(OR($B126="COMPOSICAO",$B126="INSUMO",$B126&lt;&gt;""),$B126&lt;&gt;"")</formula>
    </cfRule>
  </conditionalFormatting>
  <conditionalFormatting sqref="K133">
    <cfRule type="expression" dxfId="309" priority="8242" stopIfTrue="1">
      <formula>AND($B133&lt;&gt;"COMPOSICAO",$B133&lt;&gt;"INSUMO",$B133&lt;&gt;"")</formula>
    </cfRule>
    <cfRule type="expression" dxfId="308" priority="8243" stopIfTrue="1">
      <formula>AND(OR($B133="COMPOSICAO",$B133="INSUMO",$B133&lt;&gt;""),$B133&lt;&gt;"")</formula>
    </cfRule>
  </conditionalFormatting>
  <conditionalFormatting sqref="B139:C139">
    <cfRule type="expression" dxfId="307" priority="8237" stopIfTrue="1">
      <formula>AND($B139&lt;&gt;"COMPOSICAO",$B139&lt;&gt;"INSUMO",$B139&lt;&gt;"")</formula>
    </cfRule>
    <cfRule type="expression" dxfId="306" priority="8238" stopIfTrue="1">
      <formula>AND(OR($B139="COMPOSICAO",$B139="INSUMO",$B139&lt;&gt;""),$B139&lt;&gt;"")</formula>
    </cfRule>
  </conditionalFormatting>
  <conditionalFormatting sqref="B145:C145">
    <cfRule type="expression" dxfId="305" priority="8233" stopIfTrue="1">
      <formula>AND($B145&lt;&gt;"COMPOSICAO",$B145&lt;&gt;"INSUMO",$B145&lt;&gt;"")</formula>
    </cfRule>
    <cfRule type="expression" dxfId="304" priority="8234" stopIfTrue="1">
      <formula>AND(OR($B145="COMPOSICAO",$B145="INSUMO",$B145&lt;&gt;""),$B145&lt;&gt;"")</formula>
    </cfRule>
  </conditionalFormatting>
  <conditionalFormatting sqref="B151:C151">
    <cfRule type="expression" dxfId="303" priority="8231" stopIfTrue="1">
      <formula>AND($B151&lt;&gt;"COMPOSICAO",$B151&lt;&gt;"INSUMO",$B151&lt;&gt;"")</formula>
    </cfRule>
    <cfRule type="expression" dxfId="302" priority="8232" stopIfTrue="1">
      <formula>AND(OR($B151="COMPOSICAO",$B151="INSUMO",$B151&lt;&gt;""),$B151&lt;&gt;"")</formula>
    </cfRule>
  </conditionalFormatting>
  <conditionalFormatting sqref="B157:C157">
    <cfRule type="expression" dxfId="301" priority="8229" stopIfTrue="1">
      <formula>AND($B157&lt;&gt;"COMPOSICAO",$B157&lt;&gt;"INSUMO",$B157&lt;&gt;"")</formula>
    </cfRule>
    <cfRule type="expression" dxfId="300" priority="8230" stopIfTrue="1">
      <formula>AND(OR($B157="COMPOSICAO",$B157="INSUMO",$B157&lt;&gt;""),$B157&lt;&gt;"")</formula>
    </cfRule>
  </conditionalFormatting>
  <conditionalFormatting sqref="D139">
    <cfRule type="expression" dxfId="299" priority="8227" stopIfTrue="1">
      <formula>AND($B139&lt;&gt;"COMPOSICAO",$B139&lt;&gt;"INSUMO",$B139&lt;&gt;"")</formula>
    </cfRule>
    <cfRule type="expression" dxfId="298" priority="8228" stopIfTrue="1">
      <formula>AND(OR($B139="COMPOSICAO",$B139="INSUMO",$B139&lt;&gt;""),$B139&lt;&gt;"")</formula>
    </cfRule>
  </conditionalFormatting>
  <conditionalFormatting sqref="D145">
    <cfRule type="expression" dxfId="297" priority="8223" stopIfTrue="1">
      <formula>AND($B145&lt;&gt;"COMPOSICAO",$B145&lt;&gt;"INSUMO",$B145&lt;&gt;"")</formula>
    </cfRule>
    <cfRule type="expression" dxfId="296" priority="8224" stopIfTrue="1">
      <formula>AND(OR($B145="COMPOSICAO",$B145="INSUMO",$B145&lt;&gt;""),$B145&lt;&gt;"")</formula>
    </cfRule>
  </conditionalFormatting>
  <conditionalFormatting sqref="D151">
    <cfRule type="expression" dxfId="295" priority="8221" stopIfTrue="1">
      <formula>AND($B151&lt;&gt;"COMPOSICAO",$B151&lt;&gt;"INSUMO",$B151&lt;&gt;"")</formula>
    </cfRule>
    <cfRule type="expression" dxfId="294" priority="8222" stopIfTrue="1">
      <formula>AND(OR($B151="COMPOSICAO",$B151="INSUMO",$B151&lt;&gt;""),$B151&lt;&gt;"")</formula>
    </cfRule>
  </conditionalFormatting>
  <conditionalFormatting sqref="D157">
    <cfRule type="expression" dxfId="293" priority="8219" stopIfTrue="1">
      <formula>AND($B157&lt;&gt;"COMPOSICAO",$B157&lt;&gt;"INSUMO",$B157&lt;&gt;"")</formula>
    </cfRule>
    <cfRule type="expression" dxfId="292" priority="8220" stopIfTrue="1">
      <formula>AND(OR($B157="COMPOSICAO",$B157="INSUMO",$B157&lt;&gt;""),$B157&lt;&gt;"")</formula>
    </cfRule>
  </conditionalFormatting>
  <conditionalFormatting sqref="E139:H139">
    <cfRule type="expression" dxfId="291" priority="8217" stopIfTrue="1">
      <formula>AND($B139&lt;&gt;"COMPOSICAO",$B139&lt;&gt;"INSUMO",$B139&lt;&gt;"")</formula>
    </cfRule>
    <cfRule type="expression" dxfId="290" priority="8218" stopIfTrue="1">
      <formula>AND(OR($B139="COMPOSICAO",$B139="INSUMO",$B139&lt;&gt;""),$B139&lt;&gt;"")</formula>
    </cfRule>
  </conditionalFormatting>
  <conditionalFormatting sqref="I139">
    <cfRule type="expression" dxfId="289" priority="8215" stopIfTrue="1">
      <formula>AND($B139&lt;&gt;"COMPOSICAO",$B139&lt;&gt;"INSUMO",$B139&lt;&gt;"")</formula>
    </cfRule>
    <cfRule type="expression" dxfId="288" priority="8216" stopIfTrue="1">
      <formula>AND(OR($B139="COMPOSICAO",$B139="INSUMO",$B139&lt;&gt;""),$B139&lt;&gt;"")</formula>
    </cfRule>
  </conditionalFormatting>
  <conditionalFormatting sqref="J139">
    <cfRule type="expression" dxfId="287" priority="8213" stopIfTrue="1">
      <formula>AND($B139&lt;&gt;"COMPOSICAO",$B139&lt;&gt;"INSUMO",$B139&lt;&gt;"")</formula>
    </cfRule>
    <cfRule type="expression" dxfId="286" priority="8214" stopIfTrue="1">
      <formula>AND(OR($B139="COMPOSICAO",$B139="INSUMO",$B139&lt;&gt;""),$B139&lt;&gt;"")</formula>
    </cfRule>
  </conditionalFormatting>
  <conditionalFormatting sqref="E145:H145">
    <cfRule type="expression" dxfId="285" priority="8209" stopIfTrue="1">
      <formula>AND($B145&lt;&gt;"COMPOSICAO",$B145&lt;&gt;"INSUMO",$B145&lt;&gt;"")</formula>
    </cfRule>
    <cfRule type="expression" dxfId="284" priority="8210" stopIfTrue="1">
      <formula>AND(OR($B145="COMPOSICAO",$B145="INSUMO",$B145&lt;&gt;""),$B145&lt;&gt;"")</formula>
    </cfRule>
  </conditionalFormatting>
  <conditionalFormatting sqref="E157:H157">
    <cfRule type="expression" dxfId="283" priority="8205" stopIfTrue="1">
      <formula>AND($B157&lt;&gt;"COMPOSICAO",$B157&lt;&gt;"INSUMO",$B157&lt;&gt;"")</formula>
    </cfRule>
    <cfRule type="expression" dxfId="282" priority="8206" stopIfTrue="1">
      <formula>AND(OR($B157="COMPOSICAO",$B157="INSUMO",$B157&lt;&gt;""),$B157&lt;&gt;"")</formula>
    </cfRule>
  </conditionalFormatting>
  <conditionalFormatting sqref="E151:H151">
    <cfRule type="expression" dxfId="281" priority="8207" stopIfTrue="1">
      <formula>AND($B151&lt;&gt;"COMPOSICAO",$B151&lt;&gt;"INSUMO",$B151&lt;&gt;"")</formula>
    </cfRule>
    <cfRule type="expression" dxfId="280" priority="8208" stopIfTrue="1">
      <formula>AND(OR($B151="COMPOSICAO",$B151="INSUMO",$B151&lt;&gt;""),$B151&lt;&gt;"")</formula>
    </cfRule>
  </conditionalFormatting>
  <conditionalFormatting sqref="K142">
    <cfRule type="dataBar" priority="820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{CF91BB9B-C6E4-4106-84CD-8CA1E0C224C6}</x14:id>
        </ext>
      </extLst>
    </cfRule>
  </conditionalFormatting>
  <conditionalFormatting sqref="K143">
    <cfRule type="dataBar" priority="820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{C71A746E-60E7-4915-A005-8CD5C92B724F}</x14:id>
        </ext>
      </extLst>
    </cfRule>
  </conditionalFormatting>
  <conditionalFormatting sqref="K148">
    <cfRule type="dataBar" priority="820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{9EF2D7A3-C78B-4DB3-9442-770BBA622977}</x14:id>
        </ext>
      </extLst>
    </cfRule>
  </conditionalFormatting>
  <conditionalFormatting sqref="K149">
    <cfRule type="dataBar" priority="819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{2AE48288-11F5-4EFA-BCF6-3612A080EF18}</x14:id>
        </ext>
      </extLst>
    </cfRule>
  </conditionalFormatting>
  <conditionalFormatting sqref="K154">
    <cfRule type="dataBar" priority="819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{6CAB6A5A-60B6-46D9-8DBD-3D02F8C2F1BD}</x14:id>
        </ext>
      </extLst>
    </cfRule>
  </conditionalFormatting>
  <conditionalFormatting sqref="K155">
    <cfRule type="dataBar" priority="819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{E854C594-7DED-4988-845C-88D94F4FBB10}</x14:id>
        </ext>
      </extLst>
    </cfRule>
  </conditionalFormatting>
  <conditionalFormatting sqref="K160">
    <cfRule type="dataBar" priority="819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{713F645D-3961-492A-93C0-D5E1F89C67D4}</x14:id>
        </ext>
      </extLst>
    </cfRule>
  </conditionalFormatting>
  <conditionalFormatting sqref="K161">
    <cfRule type="dataBar" priority="819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{A98C0781-6B07-4924-9F03-9CD3F945BFB6}</x14:id>
        </ext>
      </extLst>
    </cfRule>
  </conditionalFormatting>
  <conditionalFormatting sqref="I145">
    <cfRule type="expression" dxfId="279" priority="8189" stopIfTrue="1">
      <formula>AND($B145&lt;&gt;"COMPOSICAO",$B145&lt;&gt;"INSUMO",$B145&lt;&gt;"")</formula>
    </cfRule>
    <cfRule type="expression" dxfId="278" priority="8190" stopIfTrue="1">
      <formula>AND(OR($B145="COMPOSICAO",$B145="INSUMO",$B145&lt;&gt;""),$B145&lt;&gt;"")</formula>
    </cfRule>
  </conditionalFormatting>
  <conditionalFormatting sqref="J145">
    <cfRule type="expression" dxfId="277" priority="8187" stopIfTrue="1">
      <formula>AND($B145&lt;&gt;"COMPOSICAO",$B145&lt;&gt;"INSUMO",$B145&lt;&gt;"")</formula>
    </cfRule>
    <cfRule type="expression" dxfId="276" priority="8188" stopIfTrue="1">
      <formula>AND(OR($B145="COMPOSICAO",$B145="INSUMO",$B145&lt;&gt;""),$B145&lt;&gt;"")</formula>
    </cfRule>
  </conditionalFormatting>
  <conditionalFormatting sqref="I151">
    <cfRule type="expression" dxfId="275" priority="8185" stopIfTrue="1">
      <formula>AND($B151&lt;&gt;"COMPOSICAO",$B151&lt;&gt;"INSUMO",$B151&lt;&gt;"")</formula>
    </cfRule>
    <cfRule type="expression" dxfId="274" priority="8186" stopIfTrue="1">
      <formula>AND(OR($B151="COMPOSICAO",$B151="INSUMO",$B151&lt;&gt;""),$B151&lt;&gt;"")</formula>
    </cfRule>
  </conditionalFormatting>
  <conditionalFormatting sqref="J151">
    <cfRule type="expression" dxfId="273" priority="8183" stopIfTrue="1">
      <formula>AND($B151&lt;&gt;"COMPOSICAO",$B151&lt;&gt;"INSUMO",$B151&lt;&gt;"")</formula>
    </cfRule>
    <cfRule type="expression" dxfId="272" priority="8184" stopIfTrue="1">
      <formula>AND(OR($B151="COMPOSICAO",$B151="INSUMO",$B151&lt;&gt;""),$B151&lt;&gt;"")</formula>
    </cfRule>
  </conditionalFormatting>
  <conditionalFormatting sqref="I157">
    <cfRule type="expression" dxfId="271" priority="8181" stopIfTrue="1">
      <formula>AND($B157&lt;&gt;"COMPOSICAO",$B157&lt;&gt;"INSUMO",$B157&lt;&gt;"")</formula>
    </cfRule>
    <cfRule type="expression" dxfId="270" priority="8182" stopIfTrue="1">
      <formula>AND(OR($B157="COMPOSICAO",$B157="INSUMO",$B157&lt;&gt;""),$B157&lt;&gt;"")</formula>
    </cfRule>
  </conditionalFormatting>
  <conditionalFormatting sqref="J157">
    <cfRule type="expression" dxfId="269" priority="8179" stopIfTrue="1">
      <formula>AND($B157&lt;&gt;"COMPOSICAO",$B157&lt;&gt;"INSUMO",$B157&lt;&gt;"")</formula>
    </cfRule>
    <cfRule type="expression" dxfId="268" priority="8180" stopIfTrue="1">
      <formula>AND(OR($B157="COMPOSICAO",$B157="INSUMO",$B157&lt;&gt;""),$B157&lt;&gt;"")</formula>
    </cfRule>
  </conditionalFormatting>
  <conditionalFormatting sqref="K139">
    <cfRule type="expression" dxfId="267" priority="8154" stopIfTrue="1">
      <formula>AND($B139&lt;&gt;"COMPOSICAO",$B139&lt;&gt;"INSUMO",$B139&lt;&gt;"")</formula>
    </cfRule>
    <cfRule type="expression" dxfId="266" priority="8155" stopIfTrue="1">
      <formula>AND(OR($B139="COMPOSICAO",$B139="INSUMO",$B139&lt;&gt;""),$B139&lt;&gt;"")</formula>
    </cfRule>
  </conditionalFormatting>
  <conditionalFormatting sqref="K145">
    <cfRule type="expression" dxfId="265" priority="8150" stopIfTrue="1">
      <formula>AND($B145&lt;&gt;"COMPOSICAO",$B145&lt;&gt;"INSUMO",$B145&lt;&gt;"")</formula>
    </cfRule>
    <cfRule type="expression" dxfId="264" priority="8151" stopIfTrue="1">
      <formula>AND(OR($B145="COMPOSICAO",$B145="INSUMO",$B145&lt;&gt;""),$B145&lt;&gt;"")</formula>
    </cfRule>
  </conditionalFormatting>
  <conditionalFormatting sqref="K151">
    <cfRule type="expression" dxfId="263" priority="8148" stopIfTrue="1">
      <formula>AND($B151&lt;&gt;"COMPOSICAO",$B151&lt;&gt;"INSUMO",$B151&lt;&gt;"")</formula>
    </cfRule>
    <cfRule type="expression" dxfId="262" priority="8149" stopIfTrue="1">
      <formula>AND(OR($B151="COMPOSICAO",$B151="INSUMO",$B151&lt;&gt;""),$B151&lt;&gt;"")</formula>
    </cfRule>
  </conditionalFormatting>
  <conditionalFormatting sqref="K157">
    <cfRule type="expression" dxfId="261" priority="8146" stopIfTrue="1">
      <formula>AND($B157&lt;&gt;"COMPOSICAO",$B157&lt;&gt;"INSUMO",$B157&lt;&gt;"")</formula>
    </cfRule>
    <cfRule type="expression" dxfId="260" priority="8147" stopIfTrue="1">
      <formula>AND(OR($B157="COMPOSICAO",$B157="INSUMO",$B157&lt;&gt;""),$B157&lt;&gt;"")</formula>
    </cfRule>
  </conditionalFormatting>
  <conditionalFormatting sqref="I213">
    <cfRule type="expression" dxfId="259" priority="8122" stopIfTrue="1">
      <formula>AND($B213&lt;&gt;"COMPOSICAO",$B213&lt;&gt;"INSUMO",$B213&lt;&gt;"")</formula>
    </cfRule>
    <cfRule type="expression" dxfId="258" priority="8123" stopIfTrue="1">
      <formula>AND(OR($B213="COMPOSICAO",$B213="INSUMO",$B213&lt;&gt;""),$B213&lt;&gt;"")</formula>
    </cfRule>
  </conditionalFormatting>
  <conditionalFormatting sqref="J213">
    <cfRule type="expression" dxfId="257" priority="8120" stopIfTrue="1">
      <formula>AND($B213&lt;&gt;"COMPOSICAO",$B213&lt;&gt;"INSUMO",$B213&lt;&gt;"")</formula>
    </cfRule>
    <cfRule type="expression" dxfId="256" priority="8121" stopIfTrue="1">
      <formula>AND(OR($B213="COMPOSICAO",$B213="INSUMO",$B213&lt;&gt;""),$B213&lt;&gt;"")</formula>
    </cfRule>
  </conditionalFormatting>
  <conditionalFormatting sqref="K213">
    <cfRule type="expression" dxfId="255" priority="8118" stopIfTrue="1">
      <formula>AND($B213&lt;&gt;"COMPOSICAO",$B213&lt;&gt;"INSUMO",$B213&lt;&gt;"")</formula>
    </cfRule>
    <cfRule type="expression" dxfId="254" priority="8119" stopIfTrue="1">
      <formula>AND(OR($B213="COMPOSICAO",$B213="INSUMO",$B213&lt;&gt;""),$B213&lt;&gt;"")</formula>
    </cfRule>
  </conditionalFormatting>
  <conditionalFormatting sqref="B61:C61">
    <cfRule type="expression" dxfId="253" priority="8016" stopIfTrue="1">
      <formula>AND($B61&lt;&gt;"COMPOSICAO",$B61&lt;&gt;"INSUMO",$B61&lt;&gt;"")</formula>
    </cfRule>
    <cfRule type="expression" dxfId="252" priority="8017" stopIfTrue="1">
      <formula>AND(OR($B61="COMPOSICAO",$B61="INSUMO",$B61&lt;&gt;""),$B61&lt;&gt;"")</formula>
    </cfRule>
  </conditionalFormatting>
  <conditionalFormatting sqref="D61">
    <cfRule type="expression" dxfId="251" priority="8014" stopIfTrue="1">
      <formula>AND($B61&lt;&gt;"COMPOSICAO",$B61&lt;&gt;"INSUMO",$B61&lt;&gt;"")</formula>
    </cfRule>
    <cfRule type="expression" dxfId="250" priority="8015" stopIfTrue="1">
      <formula>AND(OR($B61="COMPOSICAO",$B61="INSUMO",$B61&lt;&gt;""),$B61&lt;&gt;"")</formula>
    </cfRule>
  </conditionalFormatting>
  <conditionalFormatting sqref="E61:H61">
    <cfRule type="expression" dxfId="249" priority="8012" stopIfTrue="1">
      <formula>AND($B61&lt;&gt;"COMPOSICAO",$B61&lt;&gt;"INSUMO",$B61&lt;&gt;"")</formula>
    </cfRule>
    <cfRule type="expression" dxfId="248" priority="8013" stopIfTrue="1">
      <formula>AND(OR($B61="COMPOSICAO",$B61="INSUMO",$B61&lt;&gt;""),$B61&lt;&gt;"")</formula>
    </cfRule>
  </conditionalFormatting>
  <conditionalFormatting sqref="I61">
    <cfRule type="expression" dxfId="247" priority="8010" stopIfTrue="1">
      <formula>AND($B61&lt;&gt;"COMPOSICAO",$B61&lt;&gt;"INSUMO",$B61&lt;&gt;"")</formula>
    </cfRule>
    <cfRule type="expression" dxfId="246" priority="8011" stopIfTrue="1">
      <formula>AND(OR($B61="COMPOSICAO",$B61="INSUMO",$B61&lt;&gt;""),$B61&lt;&gt;"")</formula>
    </cfRule>
  </conditionalFormatting>
  <conditionalFormatting sqref="K61">
    <cfRule type="expression" dxfId="245" priority="8006" stopIfTrue="1">
      <formula>AND($B61&lt;&gt;"COMPOSICAO",$B61&lt;&gt;"INSUMO",$B61&lt;&gt;"")</formula>
    </cfRule>
    <cfRule type="expression" dxfId="244" priority="8007" stopIfTrue="1">
      <formula>AND(OR($B61="COMPOSICAO",$B61="INSUMO",$B61&lt;&gt;""),$B61&lt;&gt;"")</formula>
    </cfRule>
  </conditionalFormatting>
  <conditionalFormatting sqref="B63:F64">
    <cfRule type="expression" dxfId="243" priority="7460" stopIfTrue="1">
      <formula>AND($A63&lt;&gt;"COMPOSICAO",$A63&lt;&gt;"INSUMO",$A63&lt;&gt;"")</formula>
    </cfRule>
    <cfRule type="expression" dxfId="242" priority="7461" stopIfTrue="1">
      <formula>AND(OR($A63="COMPOSICAO",$A63="INSUMO",$A63&lt;&gt;""),$A63&lt;&gt;"")</formula>
    </cfRule>
  </conditionalFormatting>
  <conditionalFormatting sqref="J61">
    <cfRule type="expression" dxfId="241" priority="7458" stopIfTrue="1">
      <formula>AND($B61&lt;&gt;"COMPOSICAO",$B61&lt;&gt;"INSUMO",$B61&lt;&gt;"")</formula>
    </cfRule>
    <cfRule type="expression" dxfId="240" priority="7459" stopIfTrue="1">
      <formula>AND(OR($B61="COMPOSICAO",$B61="INSUMO",$B61&lt;&gt;""),$B61&lt;&gt;"")</formula>
    </cfRule>
  </conditionalFormatting>
  <conditionalFormatting sqref="K183 H183 D183">
    <cfRule type="expression" dxfId="239" priority="7446" stopIfTrue="1">
      <formula>AND($B183&lt;&gt;"COMPOSICAO",$B183&lt;&gt;"INSUMO",$B183&lt;&gt;"")</formula>
    </cfRule>
    <cfRule type="expression" dxfId="238" priority="7447" stopIfTrue="1">
      <formula>AND(OR($B183="COMPOSICAO",$B183="INSUMO",$B183&lt;&gt;""),$B183&lt;&gt;"")</formula>
    </cfRule>
  </conditionalFormatting>
  <conditionalFormatting sqref="I229:K229">
    <cfRule type="expression" dxfId="237" priority="3396" stopIfTrue="1">
      <formula>AND($B229&lt;&gt;"COMPOSICAO",$B229&lt;&gt;"INSUMO",$B229&lt;&gt;"")</formula>
    </cfRule>
    <cfRule type="expression" dxfId="236" priority="3397" stopIfTrue="1">
      <formula>AND(OR($B229="COMPOSICAO",$B229="INSUMO",$B229&lt;&gt;""),$B229&lt;&gt;"")</formula>
    </cfRule>
  </conditionalFormatting>
  <conditionalFormatting sqref="D231:F231 B231">
    <cfRule type="expression" dxfId="235" priority="3372" stopIfTrue="1">
      <formula>AND($A231&lt;&gt;"COMPOSICAO",$A231&lt;&gt;"INSUMO",$A231&lt;&gt;"")</formula>
    </cfRule>
    <cfRule type="expression" dxfId="234" priority="3373" stopIfTrue="1">
      <formula>AND(OR($A231="COMPOSICAO",$A231="INSUMO",$A231&lt;&gt;""),$A231&lt;&gt;"")</formula>
    </cfRule>
  </conditionalFormatting>
  <conditionalFormatting sqref="G230:H230">
    <cfRule type="expression" dxfId="233" priority="3292" stopIfTrue="1">
      <formula>AND($B230&lt;&gt;"COMPOSICAO",$B230&lt;&gt;"INSUMO",$B230&lt;&gt;"")</formula>
    </cfRule>
    <cfRule type="expression" dxfId="232" priority="3293" stopIfTrue="1">
      <formula>AND(OR($B230="COMPOSICAO",$B230="INSUMO",$B230&lt;&gt;""),$B230&lt;&gt;"")</formula>
    </cfRule>
  </conditionalFormatting>
  <conditionalFormatting sqref="B230:D230 F230">
    <cfRule type="expression" dxfId="231" priority="3294" stopIfTrue="1">
      <formula>AND($B230&lt;&gt;"COMPOSICAO",$B230&lt;&gt;"INSUMO",$B230&lt;&gt;"")</formula>
    </cfRule>
    <cfRule type="expression" dxfId="230" priority="3295" stopIfTrue="1">
      <formula>AND(OR($B230="COMPOSICAO",$B230="INSUMO",$B230&lt;&gt;""),$B230&lt;&gt;"")</formula>
    </cfRule>
  </conditionalFormatting>
  <conditionalFormatting sqref="C231:F231">
    <cfRule type="expression" dxfId="229" priority="3334" stopIfTrue="1">
      <formula>AND($A231&lt;&gt;"COMPOSICAO",$A231&lt;&gt;"INSUMO",$A231&lt;&gt;"")</formula>
    </cfRule>
    <cfRule type="expression" dxfId="228" priority="3335" stopIfTrue="1">
      <formula>AND(OR($A231="COMPOSICAO",$A231="INSUMO",$A231&lt;&gt;""),$A231&lt;&gt;"")</formula>
    </cfRule>
  </conditionalFormatting>
  <conditionalFormatting sqref="K230">
    <cfRule type="expression" dxfId="227" priority="3290" stopIfTrue="1">
      <formula>AND($B230&lt;&gt;"COMPOSICAO",$B230&lt;&gt;"INSUMO",$B230&lt;&gt;"")</formula>
    </cfRule>
    <cfRule type="expression" dxfId="226" priority="3291" stopIfTrue="1">
      <formula>AND(OR($B230="COMPOSICAO",$B230="INSUMO",$B230&lt;&gt;""),$B230&lt;&gt;"")</formula>
    </cfRule>
  </conditionalFormatting>
  <conditionalFormatting sqref="I230:J230">
    <cfRule type="expression" dxfId="225" priority="3288" stopIfTrue="1">
      <formula>AND($B230&lt;&gt;"COMPOSICAO",$B230&lt;&gt;"INSUMO",$B230&lt;&gt;"")</formula>
    </cfRule>
    <cfRule type="expression" dxfId="224" priority="3289" stopIfTrue="1">
      <formula>AND(OR($B230="COMPOSICAO",$B230="INSUMO",$B230&lt;&gt;""),$B230&lt;&gt;"")</formula>
    </cfRule>
  </conditionalFormatting>
  <conditionalFormatting sqref="E230">
    <cfRule type="expression" dxfId="223" priority="3286" stopIfTrue="1">
      <formula>AND($B230&lt;&gt;"COMPOSICAO",$B230&lt;&gt;"INSUMO",$B230&lt;&gt;"")</formula>
    </cfRule>
    <cfRule type="expression" dxfId="222" priority="3287" stopIfTrue="1">
      <formula>AND(OR($B230="COMPOSICAO",$B230="INSUMO",$B230&lt;&gt;""),$B230&lt;&gt;"")</formula>
    </cfRule>
  </conditionalFormatting>
  <conditionalFormatting sqref="I233">
    <cfRule type="expression" dxfId="221" priority="2498" stopIfTrue="1">
      <formula>AND($B233&lt;&gt;"COMPOSICAO",$B233&lt;&gt;"INSUMO",$B233&lt;&gt;"")</formula>
    </cfRule>
    <cfRule type="expression" dxfId="220" priority="2499" stopIfTrue="1">
      <formula>AND(OR($B233="COMPOSICAO",$B233="INSUMO",$B233&lt;&gt;""),$B233&lt;&gt;"")</formula>
    </cfRule>
  </conditionalFormatting>
  <conditionalFormatting sqref="K233">
    <cfRule type="expression" dxfId="219" priority="2496" stopIfTrue="1">
      <formula>AND($B233&lt;&gt;"COMPOSICAO",$B233&lt;&gt;"INSUMO",$B233&lt;&gt;"")</formula>
    </cfRule>
    <cfRule type="expression" dxfId="218" priority="2497" stopIfTrue="1">
      <formula>AND(OR($B233="COMPOSICAO",$B233="INSUMO",$B233&lt;&gt;""),$B233&lt;&gt;"")</formula>
    </cfRule>
  </conditionalFormatting>
  <conditionalFormatting sqref="B163">
    <cfRule type="expression" dxfId="217" priority="1374" stopIfTrue="1">
      <formula>AND($B163&lt;&gt;"COMPOSICAO",$B163&lt;&gt;"INSUMO",$B163&lt;&gt;"")</formula>
    </cfRule>
    <cfRule type="expression" dxfId="216" priority="1375" stopIfTrue="1">
      <formula>AND(OR($B163="COMPOSICAO",$B163="INSUMO",$B163&lt;&gt;""),$B163&lt;&gt;"")</formula>
    </cfRule>
  </conditionalFormatting>
  <conditionalFormatting sqref="D163">
    <cfRule type="expression" dxfId="215" priority="1372" stopIfTrue="1">
      <formula>AND($B163&lt;&gt;"COMPOSICAO",$B163&lt;&gt;"INSUMO",$B163&lt;&gt;"")</formula>
    </cfRule>
    <cfRule type="expression" dxfId="214" priority="1373" stopIfTrue="1">
      <formula>AND(OR($B163="COMPOSICAO",$B163="INSUMO",$B163&lt;&gt;""),$B163&lt;&gt;"")</formula>
    </cfRule>
  </conditionalFormatting>
  <conditionalFormatting sqref="E163:H163">
    <cfRule type="expression" dxfId="213" priority="1370" stopIfTrue="1">
      <formula>AND($B163&lt;&gt;"COMPOSICAO",$B163&lt;&gt;"INSUMO",$B163&lt;&gt;"")</formula>
    </cfRule>
    <cfRule type="expression" dxfId="212" priority="1371" stopIfTrue="1">
      <formula>AND(OR($B163="COMPOSICAO",$B163="INSUMO",$B163&lt;&gt;""),$B163&lt;&gt;"")</formula>
    </cfRule>
  </conditionalFormatting>
  <conditionalFormatting sqref="K166">
    <cfRule type="dataBar" priority="136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{F62BC3D0-0D7F-4638-B8FB-D7E845D83916}</x14:id>
        </ext>
      </extLst>
    </cfRule>
  </conditionalFormatting>
  <conditionalFormatting sqref="K167">
    <cfRule type="dataBar" priority="136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{8A1EB7F3-4C9B-42FA-B2BD-1C15D1094DE6}</x14:id>
        </ext>
      </extLst>
    </cfRule>
  </conditionalFormatting>
  <conditionalFormatting sqref="I163">
    <cfRule type="expression" dxfId="211" priority="1366" stopIfTrue="1">
      <formula>AND($B163&lt;&gt;"COMPOSICAO",$B163&lt;&gt;"INSUMO",$B163&lt;&gt;"")</formula>
    </cfRule>
    <cfRule type="expression" dxfId="210" priority="1367" stopIfTrue="1">
      <formula>AND(OR($B163="COMPOSICAO",$B163="INSUMO",$B163&lt;&gt;""),$B163&lt;&gt;"")</formula>
    </cfRule>
  </conditionalFormatting>
  <conditionalFormatting sqref="J163">
    <cfRule type="expression" dxfId="209" priority="1364" stopIfTrue="1">
      <formula>AND($B163&lt;&gt;"COMPOSICAO",$B163&lt;&gt;"INSUMO",$B163&lt;&gt;"")</formula>
    </cfRule>
    <cfRule type="expression" dxfId="208" priority="1365" stopIfTrue="1">
      <formula>AND(OR($B163="COMPOSICAO",$B163="INSUMO",$B163&lt;&gt;""),$B163&lt;&gt;"")</formula>
    </cfRule>
  </conditionalFormatting>
  <conditionalFormatting sqref="K163">
    <cfRule type="expression" dxfId="207" priority="1362" stopIfTrue="1">
      <formula>AND($B163&lt;&gt;"COMPOSICAO",$B163&lt;&gt;"INSUMO",$B163&lt;&gt;"")</formula>
    </cfRule>
    <cfRule type="expression" dxfId="206" priority="1363" stopIfTrue="1">
      <formula>AND(OR($B163="COMPOSICAO",$B163="INSUMO",$B163&lt;&gt;""),$B163&lt;&gt;"")</formula>
    </cfRule>
  </conditionalFormatting>
  <conditionalFormatting sqref="B169:C169">
    <cfRule type="expression" dxfId="205" priority="1360" stopIfTrue="1">
      <formula>AND($B169&lt;&gt;"COMPOSICAO",$B169&lt;&gt;"INSUMO",$B169&lt;&gt;"")</formula>
    </cfRule>
    <cfRule type="expression" dxfId="204" priority="1361" stopIfTrue="1">
      <formula>AND(OR($B169="COMPOSICAO",$B169="INSUMO",$B169&lt;&gt;""),$B169&lt;&gt;"")</formula>
    </cfRule>
  </conditionalFormatting>
  <conditionalFormatting sqref="D169">
    <cfRule type="expression" dxfId="203" priority="1358" stopIfTrue="1">
      <formula>AND($B169&lt;&gt;"COMPOSICAO",$B169&lt;&gt;"INSUMO",$B169&lt;&gt;"")</formula>
    </cfRule>
    <cfRule type="expression" dxfId="202" priority="1359" stopIfTrue="1">
      <formula>AND(OR($B169="COMPOSICAO",$B169="INSUMO",$B169&lt;&gt;""),$B169&lt;&gt;"")</formula>
    </cfRule>
  </conditionalFormatting>
  <conditionalFormatting sqref="E169:H169">
    <cfRule type="expression" dxfId="201" priority="1356" stopIfTrue="1">
      <formula>AND($B169&lt;&gt;"COMPOSICAO",$B169&lt;&gt;"INSUMO",$B169&lt;&gt;"")</formula>
    </cfRule>
    <cfRule type="expression" dxfId="200" priority="1357" stopIfTrue="1">
      <formula>AND(OR($B169="COMPOSICAO",$B169="INSUMO",$B169&lt;&gt;""),$B169&lt;&gt;"")</formula>
    </cfRule>
  </conditionalFormatting>
  <conditionalFormatting sqref="K172">
    <cfRule type="dataBar" priority="135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{734B4F2A-DA03-4895-BD73-89FC9D30E1A1}</x14:id>
        </ext>
      </extLst>
    </cfRule>
  </conditionalFormatting>
  <conditionalFormatting sqref="K173">
    <cfRule type="dataBar" priority="135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{A886D591-9398-4599-B09E-DEB7801E41D8}</x14:id>
        </ext>
      </extLst>
    </cfRule>
  </conditionalFormatting>
  <conditionalFormatting sqref="I169">
    <cfRule type="expression" dxfId="199" priority="1352" stopIfTrue="1">
      <formula>AND($B169&lt;&gt;"COMPOSICAO",$B169&lt;&gt;"INSUMO",$B169&lt;&gt;"")</formula>
    </cfRule>
    <cfRule type="expression" dxfId="198" priority="1353" stopIfTrue="1">
      <formula>AND(OR($B169="COMPOSICAO",$B169="INSUMO",$B169&lt;&gt;""),$B169&lt;&gt;"")</formula>
    </cfRule>
  </conditionalFormatting>
  <conditionalFormatting sqref="J169">
    <cfRule type="expression" dxfId="197" priority="1350" stopIfTrue="1">
      <formula>AND($B169&lt;&gt;"COMPOSICAO",$B169&lt;&gt;"INSUMO",$B169&lt;&gt;"")</formula>
    </cfRule>
    <cfRule type="expression" dxfId="196" priority="1351" stopIfTrue="1">
      <formula>AND(OR($B169="COMPOSICAO",$B169="INSUMO",$B169&lt;&gt;""),$B169&lt;&gt;"")</formula>
    </cfRule>
  </conditionalFormatting>
  <conditionalFormatting sqref="K169">
    <cfRule type="expression" dxfId="195" priority="1348" stopIfTrue="1">
      <formula>AND($B169&lt;&gt;"COMPOSICAO",$B169&lt;&gt;"INSUMO",$B169&lt;&gt;"")</formula>
    </cfRule>
    <cfRule type="expression" dxfId="194" priority="1349" stopIfTrue="1">
      <formula>AND(OR($B169="COMPOSICAO",$B169="INSUMO",$B169&lt;&gt;""),$B169&lt;&gt;"")</formula>
    </cfRule>
  </conditionalFormatting>
  <conditionalFormatting sqref="B175:C175">
    <cfRule type="expression" dxfId="193" priority="1346" stopIfTrue="1">
      <formula>AND($B175&lt;&gt;"COMPOSICAO",$B175&lt;&gt;"INSUMO",$B175&lt;&gt;"")</formula>
    </cfRule>
    <cfRule type="expression" dxfId="192" priority="1347" stopIfTrue="1">
      <formula>AND(OR($B175="COMPOSICAO",$B175="INSUMO",$B175&lt;&gt;""),$B175&lt;&gt;"")</formula>
    </cfRule>
  </conditionalFormatting>
  <conditionalFormatting sqref="D175">
    <cfRule type="expression" dxfId="191" priority="1344" stopIfTrue="1">
      <formula>AND($B175&lt;&gt;"COMPOSICAO",$B175&lt;&gt;"INSUMO",$B175&lt;&gt;"")</formula>
    </cfRule>
    <cfRule type="expression" dxfId="190" priority="1345" stopIfTrue="1">
      <formula>AND(OR($B175="COMPOSICAO",$B175="INSUMO",$B175&lt;&gt;""),$B175&lt;&gt;"")</formula>
    </cfRule>
  </conditionalFormatting>
  <conditionalFormatting sqref="E175:H175">
    <cfRule type="expression" dxfId="189" priority="1342" stopIfTrue="1">
      <formula>AND($B175&lt;&gt;"COMPOSICAO",$B175&lt;&gt;"INSUMO",$B175&lt;&gt;"")</formula>
    </cfRule>
    <cfRule type="expression" dxfId="188" priority="1343" stopIfTrue="1">
      <formula>AND(OR($B175="COMPOSICAO",$B175="INSUMO",$B175&lt;&gt;""),$B175&lt;&gt;"")</formula>
    </cfRule>
  </conditionalFormatting>
  <conditionalFormatting sqref="K178">
    <cfRule type="dataBar" priority="134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{B2371971-251D-424D-898B-4555E5147006}</x14:id>
        </ext>
      </extLst>
    </cfRule>
  </conditionalFormatting>
  <conditionalFormatting sqref="K179">
    <cfRule type="dataBar" priority="134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{DECB309D-0CAD-44F6-878B-7E91C9D8D92B}</x14:id>
        </ext>
      </extLst>
    </cfRule>
  </conditionalFormatting>
  <conditionalFormatting sqref="I175">
    <cfRule type="expression" dxfId="187" priority="1338" stopIfTrue="1">
      <formula>AND($B175&lt;&gt;"COMPOSICAO",$B175&lt;&gt;"INSUMO",$B175&lt;&gt;"")</formula>
    </cfRule>
    <cfRule type="expression" dxfId="186" priority="1339" stopIfTrue="1">
      <formula>AND(OR($B175="COMPOSICAO",$B175="INSUMO",$B175&lt;&gt;""),$B175&lt;&gt;"")</formula>
    </cfRule>
  </conditionalFormatting>
  <conditionalFormatting sqref="J175">
    <cfRule type="expression" dxfId="185" priority="1336" stopIfTrue="1">
      <formula>AND($B175&lt;&gt;"COMPOSICAO",$B175&lt;&gt;"INSUMO",$B175&lt;&gt;"")</formula>
    </cfRule>
    <cfRule type="expression" dxfId="184" priority="1337" stopIfTrue="1">
      <formula>AND(OR($B175="COMPOSICAO",$B175="INSUMO",$B175&lt;&gt;""),$B175&lt;&gt;"")</formula>
    </cfRule>
  </conditionalFormatting>
  <conditionalFormatting sqref="K175">
    <cfRule type="expression" dxfId="183" priority="1334" stopIfTrue="1">
      <formula>AND($B175&lt;&gt;"COMPOSICAO",$B175&lt;&gt;"INSUMO",$B175&lt;&gt;"")</formula>
    </cfRule>
    <cfRule type="expression" dxfId="182" priority="1335" stopIfTrue="1">
      <formula>AND(OR($B175="COMPOSICAO",$B175="INSUMO",$B175&lt;&gt;""),$B175&lt;&gt;"")</formula>
    </cfRule>
  </conditionalFormatting>
  <conditionalFormatting sqref="C163">
    <cfRule type="expression" dxfId="181" priority="1332" stopIfTrue="1">
      <formula>AND($B163&lt;&gt;"COMPOSICAO",$B163&lt;&gt;"INSUMO",$B163&lt;&gt;"")</formula>
    </cfRule>
    <cfRule type="expression" dxfId="180" priority="1333" stopIfTrue="1">
      <formula>AND(OR($B163="COMPOSICAO",$B163="INSUMO",$B163&lt;&gt;""),$B163&lt;&gt;"")</formula>
    </cfRule>
  </conditionalFormatting>
  <conditionalFormatting sqref="B116:C116">
    <cfRule type="expression" dxfId="179" priority="1329" stopIfTrue="1">
      <formula>AND($B116&lt;&gt;"COMPOSICAO",$B116&lt;&gt;"INSUMO",$B116&lt;&gt;"")</formula>
    </cfRule>
    <cfRule type="expression" dxfId="178" priority="1330" stopIfTrue="1">
      <formula>AND(OR($B116="COMPOSICAO",$B116="INSUMO",$B116&lt;&gt;""),$B116&lt;&gt;"")</formula>
    </cfRule>
  </conditionalFormatting>
  <conditionalFormatting sqref="D116">
    <cfRule type="expression" dxfId="177" priority="1327" stopIfTrue="1">
      <formula>AND($B116&lt;&gt;"COMPOSICAO",$B116&lt;&gt;"INSUMO",$B116&lt;&gt;"")</formula>
    </cfRule>
    <cfRule type="expression" dxfId="176" priority="1328" stopIfTrue="1">
      <formula>AND(OR($B116="COMPOSICAO",$B116="INSUMO",$B116&lt;&gt;""),$B116&lt;&gt;"")</formula>
    </cfRule>
  </conditionalFormatting>
  <conditionalFormatting sqref="J116">
    <cfRule type="expression" dxfId="175" priority="1323" stopIfTrue="1">
      <formula>AND($B116&lt;&gt;"COMPOSICAO",$B116&lt;&gt;"INSUMO",$B116&lt;&gt;"")</formula>
    </cfRule>
    <cfRule type="expression" dxfId="174" priority="1324" stopIfTrue="1">
      <formula>AND(OR($B116="COMPOSICAO",$B116="INSUMO",$B116&lt;&gt;""),$B116&lt;&gt;"")</formula>
    </cfRule>
  </conditionalFormatting>
  <conditionalFormatting sqref="E116:H116">
    <cfRule type="expression" dxfId="173" priority="1325" stopIfTrue="1">
      <formula>AND($B116&lt;&gt;"COMPOSICAO",$B116&lt;&gt;"INSUMO",$B116&lt;&gt;"")</formula>
    </cfRule>
    <cfRule type="expression" dxfId="172" priority="1326" stopIfTrue="1">
      <formula>AND(OR($B116="COMPOSICAO",$B116="INSUMO",$B116&lt;&gt;""),$B116&lt;&gt;"")</formula>
    </cfRule>
  </conditionalFormatting>
  <conditionalFormatting sqref="I116">
    <cfRule type="expression" dxfId="171" priority="1321" stopIfTrue="1">
      <formula>AND($B116&lt;&gt;"COMPOSICAO",$B116&lt;&gt;"INSUMO",$B116&lt;&gt;"")</formula>
    </cfRule>
    <cfRule type="expression" dxfId="170" priority="1322" stopIfTrue="1">
      <formula>AND(OR($B116="COMPOSICAO",$B116="INSUMO",$B116&lt;&gt;""),$B116&lt;&gt;"")</formula>
    </cfRule>
  </conditionalFormatting>
  <conditionalFormatting sqref="K120">
    <cfRule type="dataBar" priority="133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{4DBC998F-B964-42A9-BE6C-567CC413BD0F}</x14:id>
        </ext>
      </extLst>
    </cfRule>
  </conditionalFormatting>
  <conditionalFormatting sqref="K116">
    <cfRule type="expression" dxfId="169" priority="1319" stopIfTrue="1">
      <formula>AND($B116&lt;&gt;"COMPOSICAO",$B116&lt;&gt;"INSUMO",$B116&lt;&gt;"")</formula>
    </cfRule>
    <cfRule type="expression" dxfId="168" priority="1320" stopIfTrue="1">
      <formula>AND(OR($B116="COMPOSICAO",$B116="INSUMO",$B116&lt;&gt;""),$B116&lt;&gt;"")</formula>
    </cfRule>
  </conditionalFormatting>
  <conditionalFormatting sqref="G122">
    <cfRule type="expression" dxfId="167" priority="1291" stopIfTrue="1">
      <formula>AND($B122&lt;&gt;"COMPOSICAO",$B122&lt;&gt;"INSUMO",$B122&lt;&gt;"")</formula>
    </cfRule>
    <cfRule type="expression" dxfId="166" priority="1292" stopIfTrue="1">
      <formula>AND(OR($B122="COMPOSICAO",$B122="INSUMO",$B122&lt;&gt;""),$B122&lt;&gt;"")</formula>
    </cfRule>
  </conditionalFormatting>
  <conditionalFormatting sqref="G126">
    <cfRule type="expression" dxfId="165" priority="1289" stopIfTrue="1">
      <formula>AND($B126&lt;&gt;"COMPOSICAO",$B126&lt;&gt;"INSUMO",$B126&lt;&gt;"")</formula>
    </cfRule>
    <cfRule type="expression" dxfId="164" priority="1290" stopIfTrue="1">
      <formula>AND(OR($B126="COMPOSICAO",$B126="INSUMO",$B126&lt;&gt;""),$B126&lt;&gt;"")</formula>
    </cfRule>
  </conditionalFormatting>
  <conditionalFormatting sqref="D87">
    <cfRule type="expression" dxfId="163" priority="1283" stopIfTrue="1">
      <formula>AND($B87&lt;&gt;"COMPOSICAO",$B87&lt;&gt;"INSUMO",$B87&lt;&gt;"")</formula>
    </cfRule>
    <cfRule type="expression" dxfId="162" priority="1284" stopIfTrue="1">
      <formula>AND(OR($B87="COMPOSICAO",$B87="INSUMO",$B87&lt;&gt;""),$B87&lt;&gt;"")</formula>
    </cfRule>
  </conditionalFormatting>
  <conditionalFormatting sqref="E87:H87">
    <cfRule type="expression" dxfId="161" priority="1281" stopIfTrue="1">
      <formula>AND($B87&lt;&gt;"COMPOSICAO",$B87&lt;&gt;"INSUMO",$B87&lt;&gt;"")</formula>
    </cfRule>
    <cfRule type="expression" dxfId="160" priority="1282" stopIfTrue="1">
      <formula>AND(OR($B87="COMPOSICAO",$B87="INSUMO",$B87&lt;&gt;""),$B87&lt;&gt;"")</formula>
    </cfRule>
  </conditionalFormatting>
  <conditionalFormatting sqref="B87">
    <cfRule type="expression" dxfId="159" priority="1285" stopIfTrue="1">
      <formula>AND($B87&lt;&gt;"COMPOSICAO",$B87&lt;&gt;"INSUMO",$B87&lt;&gt;"")</formula>
    </cfRule>
    <cfRule type="expression" dxfId="158" priority="1286" stopIfTrue="1">
      <formula>AND(OR($B87="COMPOSICAO",$B87="INSUMO",$B87&lt;&gt;""),$B87&lt;&gt;"")</formula>
    </cfRule>
  </conditionalFormatting>
  <conditionalFormatting sqref="I87">
    <cfRule type="expression" dxfId="157" priority="1279" stopIfTrue="1">
      <formula>AND($B87&lt;&gt;"COMPOSICAO",$B87&lt;&gt;"INSUMO",$B87&lt;&gt;"")</formula>
    </cfRule>
    <cfRule type="expression" dxfId="156" priority="1280" stopIfTrue="1">
      <formula>AND(OR($B87="COMPOSICAO",$B87="INSUMO",$B87&lt;&gt;""),$B87&lt;&gt;"")</formula>
    </cfRule>
  </conditionalFormatting>
  <conditionalFormatting sqref="J87">
    <cfRule type="expression" dxfId="155" priority="1277" stopIfTrue="1">
      <formula>AND($B87&lt;&gt;"COMPOSICAO",$B87&lt;&gt;"INSUMO",$B87&lt;&gt;"")</formula>
    </cfRule>
    <cfRule type="expression" dxfId="154" priority="1278" stopIfTrue="1">
      <formula>AND(OR($B87="COMPOSICAO",$B87="INSUMO",$B87&lt;&gt;""),$B87&lt;&gt;"")</formula>
    </cfRule>
  </conditionalFormatting>
  <conditionalFormatting sqref="K87">
    <cfRule type="expression" dxfId="153" priority="1275" stopIfTrue="1">
      <formula>AND($B87&lt;&gt;"COMPOSICAO",$B87&lt;&gt;"INSUMO",$B87&lt;&gt;"")</formula>
    </cfRule>
    <cfRule type="expression" dxfId="152" priority="1276" stopIfTrue="1">
      <formula>AND(OR($B87="COMPOSICAO",$B87="INSUMO",$B87&lt;&gt;""),$B87&lt;&gt;"")</formula>
    </cfRule>
  </conditionalFormatting>
  <conditionalFormatting sqref="I208">
    <cfRule type="expression" dxfId="151" priority="1251" stopIfTrue="1">
      <formula>AND($B208&lt;&gt;"COMPOSICAO",$B208&lt;&gt;"INSUMO",$B208&lt;&gt;"")</formula>
    </cfRule>
    <cfRule type="expression" dxfId="150" priority="1252" stopIfTrue="1">
      <formula>AND(OR($B208="COMPOSICAO",$B208="INSUMO",$B208&lt;&gt;""),$B208&lt;&gt;"")</formula>
    </cfRule>
  </conditionalFormatting>
  <conditionalFormatting sqref="J208">
    <cfRule type="expression" dxfId="149" priority="1249" stopIfTrue="1">
      <formula>AND($B208&lt;&gt;"COMPOSICAO",$B208&lt;&gt;"INSUMO",$B208&lt;&gt;"")</formula>
    </cfRule>
    <cfRule type="expression" dxfId="148" priority="1250" stopIfTrue="1">
      <formula>AND(OR($B208="COMPOSICAO",$B208="INSUMO",$B208&lt;&gt;""),$B208&lt;&gt;"")</formula>
    </cfRule>
  </conditionalFormatting>
  <conditionalFormatting sqref="K208">
    <cfRule type="expression" dxfId="147" priority="1247" stopIfTrue="1">
      <formula>AND($B208&lt;&gt;"COMPOSICAO",$B208&lt;&gt;"INSUMO",$B208&lt;&gt;"")</formula>
    </cfRule>
    <cfRule type="expression" dxfId="146" priority="1248" stopIfTrue="1">
      <formula>AND(OR($B208="COMPOSICAO",$B208="INSUMO",$B208&lt;&gt;""),$B208&lt;&gt;"")</formula>
    </cfRule>
  </conditionalFormatting>
  <conditionalFormatting sqref="I218">
    <cfRule type="expression" dxfId="145" priority="1245" stopIfTrue="1">
      <formula>AND($B218&lt;&gt;"COMPOSICAO",$B218&lt;&gt;"INSUMO",$B218&lt;&gt;"")</formula>
    </cfRule>
    <cfRule type="expression" dxfId="144" priority="1246" stopIfTrue="1">
      <formula>AND(OR($B218="COMPOSICAO",$B218="INSUMO",$B218&lt;&gt;""),$B218&lt;&gt;"")</formula>
    </cfRule>
  </conditionalFormatting>
  <conditionalFormatting sqref="J218">
    <cfRule type="expression" dxfId="143" priority="1243" stopIfTrue="1">
      <formula>AND($B218&lt;&gt;"COMPOSICAO",$B218&lt;&gt;"INSUMO",$B218&lt;&gt;"")</formula>
    </cfRule>
    <cfRule type="expression" dxfId="142" priority="1244" stopIfTrue="1">
      <formula>AND(OR($B218="COMPOSICAO",$B218="INSUMO",$B218&lt;&gt;""),$B218&lt;&gt;"")</formula>
    </cfRule>
  </conditionalFormatting>
  <conditionalFormatting sqref="K218">
    <cfRule type="expression" dxfId="141" priority="1241" stopIfTrue="1">
      <formula>AND($B218&lt;&gt;"COMPOSICAO",$B218&lt;&gt;"INSUMO",$B218&lt;&gt;"")</formula>
    </cfRule>
    <cfRule type="expression" dxfId="140" priority="1242" stopIfTrue="1">
      <formula>AND(OR($B218="COMPOSICAO",$B218="INSUMO",$B218&lt;&gt;""),$B218&lt;&gt;"")</formula>
    </cfRule>
  </conditionalFormatting>
  <conditionalFormatting sqref="I203">
    <cfRule type="expression" dxfId="139" priority="1239" stopIfTrue="1">
      <formula>AND($B203&lt;&gt;"COMPOSICAO",$B203&lt;&gt;"INSUMO",$B203&lt;&gt;"")</formula>
    </cfRule>
    <cfRule type="expression" dxfId="138" priority="1240" stopIfTrue="1">
      <formula>AND(OR($B203="COMPOSICAO",$B203="INSUMO",$B203&lt;&gt;""),$B203&lt;&gt;"")</formula>
    </cfRule>
  </conditionalFormatting>
  <conditionalFormatting sqref="J203">
    <cfRule type="expression" dxfId="137" priority="1237" stopIfTrue="1">
      <formula>AND($B203&lt;&gt;"COMPOSICAO",$B203&lt;&gt;"INSUMO",$B203&lt;&gt;"")</formula>
    </cfRule>
    <cfRule type="expression" dxfId="136" priority="1238" stopIfTrue="1">
      <formula>AND(OR($B203="COMPOSICAO",$B203="INSUMO",$B203&lt;&gt;""),$B203&lt;&gt;"")</formula>
    </cfRule>
  </conditionalFormatting>
  <conditionalFormatting sqref="K203">
    <cfRule type="expression" dxfId="135" priority="1235" stopIfTrue="1">
      <formula>AND($B203&lt;&gt;"COMPOSICAO",$B203&lt;&gt;"INSUMO",$B203&lt;&gt;"")</formula>
    </cfRule>
    <cfRule type="expression" dxfId="134" priority="1236" stopIfTrue="1">
      <formula>AND(OR($B203="COMPOSICAO",$B203="INSUMO",$B203&lt;&gt;""),$B203&lt;&gt;"")</formula>
    </cfRule>
  </conditionalFormatting>
  <conditionalFormatting sqref="H27">
    <cfRule type="expression" dxfId="133" priority="1231" stopIfTrue="1">
      <formula>AND($B27&lt;&gt;"COMPOSICAO",$B27&lt;&gt;"INSUMO",$B27&lt;&gt;"")</formula>
    </cfRule>
    <cfRule type="expression" dxfId="132" priority="1232" stopIfTrue="1">
      <formula>AND(OR($B27="COMPOSICAO",$B27="INSUMO",$B27&lt;&gt;""),$B27&lt;&gt;"")</formula>
    </cfRule>
  </conditionalFormatting>
  <conditionalFormatting sqref="B27:G27">
    <cfRule type="expression" dxfId="131" priority="1227" stopIfTrue="1">
      <formula>AND($B27&lt;&gt;"COMPOSICAO",$B27&lt;&gt;"INSUMO",$B27&lt;&gt;"")</formula>
    </cfRule>
    <cfRule type="expression" dxfId="130" priority="1228" stopIfTrue="1">
      <formula>AND(OR($B27="COMPOSICAO",$B27="INSUMO",$B27&lt;&gt;""),$B27&lt;&gt;"")</formula>
    </cfRule>
  </conditionalFormatting>
  <conditionalFormatting sqref="H29:H31">
    <cfRule type="expression" dxfId="129" priority="1209" stopIfTrue="1">
      <formula>AND($B29&lt;&gt;"COMPOSICAO",$B29&lt;&gt;"INSUMO",$B29&lt;&gt;"")</formula>
    </cfRule>
    <cfRule type="expression" dxfId="128" priority="1210" stopIfTrue="1">
      <formula>AND(OR($B29="COMPOSICAO",$B29="INSUMO",$B29&lt;&gt;""),$B29&lt;&gt;"")</formula>
    </cfRule>
  </conditionalFormatting>
  <conditionalFormatting sqref="G29">
    <cfRule type="expression" dxfId="127" priority="1207" stopIfTrue="1">
      <formula>AND($B29&lt;&gt;"COMPOSICAO",$B29&lt;&gt;"INSUMO",$B29&lt;&gt;"")</formula>
    </cfRule>
    <cfRule type="expression" dxfId="126" priority="1208" stopIfTrue="1">
      <formula>AND(OR($B29="COMPOSICAO",$B29="INSUMO",$B29&lt;&gt;""),$B29&lt;&gt;"")</formula>
    </cfRule>
  </conditionalFormatting>
  <conditionalFormatting sqref="I30:I31 K30:K31">
    <cfRule type="expression" dxfId="125" priority="1189" stopIfTrue="1">
      <formula>AND($B30&lt;&gt;"COMPOSICAO",$B30&lt;&gt;"INSUMO",$B30&lt;&gt;"")</formula>
    </cfRule>
    <cfRule type="expression" dxfId="124" priority="1190" stopIfTrue="1">
      <formula>AND(OR($B30="COMPOSICAO",$B30="INSUMO",$B30&lt;&gt;""),$B30&lt;&gt;"")</formula>
    </cfRule>
  </conditionalFormatting>
  <conditionalFormatting sqref="I30:I31">
    <cfRule type="expression" dxfId="123" priority="1203" stopIfTrue="1">
      <formula>AND($B30&lt;&gt;"COMPOSICAO",$B30&lt;&gt;"INSUMO",$B30&lt;&gt;"")</formula>
    </cfRule>
    <cfRule type="expression" dxfId="122" priority="1204" stopIfTrue="1">
      <formula>AND(OR($B30="COMPOSICAO",$B30="INSUMO",$B30&lt;&gt;""),$B30&lt;&gt;"")</formula>
    </cfRule>
  </conditionalFormatting>
  <conditionalFormatting sqref="I27:J27">
    <cfRule type="expression" dxfId="121" priority="1179" stopIfTrue="1">
      <formula>AND($B27&lt;&gt;"COMPOSICAO",$B27&lt;&gt;"INSUMO",$B27&lt;&gt;"")</formula>
    </cfRule>
    <cfRule type="expression" dxfId="120" priority="1180" stopIfTrue="1">
      <formula>AND(OR($B27="COMPOSICAO",$B27="INSUMO",$B27&lt;&gt;""),$B27&lt;&gt;"")</formula>
    </cfRule>
  </conditionalFormatting>
  <conditionalFormatting sqref="J27">
    <cfRule type="expression" dxfId="119" priority="1177" stopIfTrue="1">
      <formula>AND($B27&lt;&gt;"COMPOSICAO",$B27&lt;&gt;"INSUMO",$B27&lt;&gt;"")</formula>
    </cfRule>
    <cfRule type="expression" dxfId="118" priority="1178" stopIfTrue="1">
      <formula>AND(OR($B27="COMPOSICAO",$B27="INSUMO",$B27&lt;&gt;""),$B27&lt;&gt;"")</formula>
    </cfRule>
  </conditionalFormatting>
  <conditionalFormatting sqref="K239">
    <cfRule type="expression" dxfId="117" priority="1095" stopIfTrue="1">
      <formula>AND($B239&lt;&gt;"COMPOSICAO",$B239&lt;&gt;"INSUMO",$B239&lt;&gt;"")</formula>
    </cfRule>
    <cfRule type="expression" dxfId="116" priority="1096" stopIfTrue="1">
      <formula>AND(OR($B239="COMPOSICAO",$B239="INSUMO",$B239&lt;&gt;""),$B239&lt;&gt;"")</formula>
    </cfRule>
  </conditionalFormatting>
  <conditionalFormatting sqref="K28:K29">
    <cfRule type="expression" dxfId="115" priority="1173" stopIfTrue="1">
      <formula>AND($B28&lt;&gt;"COMPOSICAO",$B28&lt;&gt;"INSUMO",$B28&lt;&gt;"")</formula>
    </cfRule>
    <cfRule type="expression" dxfId="114" priority="1174" stopIfTrue="1">
      <formula>AND(OR($B28="COMPOSICAO",$B28="INSUMO",$B28&lt;&gt;""),$B28&lt;&gt;"")</formula>
    </cfRule>
  </conditionalFormatting>
  <conditionalFormatting sqref="K27">
    <cfRule type="expression" dxfId="113" priority="1171" stopIfTrue="1">
      <formula>AND($B27&lt;&gt;"COMPOSICAO",$B27&lt;&gt;"INSUMO",$B27&lt;&gt;"")</formula>
    </cfRule>
    <cfRule type="expression" dxfId="112" priority="1172" stopIfTrue="1">
      <formula>AND(OR($B27="COMPOSICAO",$B27="INSUMO",$B27&lt;&gt;""),$B27&lt;&gt;"")</formula>
    </cfRule>
  </conditionalFormatting>
  <conditionalFormatting sqref="K27:K29">
    <cfRule type="expression" dxfId="111" priority="1183" stopIfTrue="1">
      <formula>AND($B27&lt;&gt;"COMPOSICAO",$B27&lt;&gt;"INSUMO",$B27&lt;&gt;"")</formula>
    </cfRule>
    <cfRule type="expression" dxfId="110" priority="1184" stopIfTrue="1">
      <formula>AND(OR($B27="COMPOSICAO",$B27="INSUMO",$B27&lt;&gt;""),$B27&lt;&gt;"")</formula>
    </cfRule>
  </conditionalFormatting>
  <conditionalFormatting sqref="I239">
    <cfRule type="expression" dxfId="109" priority="1097" stopIfTrue="1">
      <formula>AND($B239&lt;&gt;"COMPOSICAO",$B239&lt;&gt;"INSUMO",$B239&lt;&gt;"")</formula>
    </cfRule>
    <cfRule type="expression" dxfId="108" priority="1098" stopIfTrue="1">
      <formula>AND(OR($B239="COMPOSICAO",$B239="INSUMO",$B239&lt;&gt;""),$B239&lt;&gt;"")</formula>
    </cfRule>
  </conditionalFormatting>
  <conditionalFormatting sqref="K46">
    <cfRule type="expression" dxfId="107" priority="1147" stopIfTrue="1">
      <formula>AND($B46&lt;&gt;"COMPOSICAO",$B46&lt;&gt;"INSUMO",$B46&lt;&gt;"")</formula>
    </cfRule>
    <cfRule type="expression" dxfId="106" priority="1148" stopIfTrue="1">
      <formula>AND(OR($B46="COMPOSICAO",$B46="INSUMO",$B46&lt;&gt;""),$B46&lt;&gt;"")</formula>
    </cfRule>
  </conditionalFormatting>
  <conditionalFormatting sqref="B46:D46 F46">
    <cfRule type="expression" dxfId="105" priority="1151" stopIfTrue="1">
      <formula>AND($B46&lt;&gt;"COMPOSICAO",$B46&lt;&gt;"INSUMO",$B46&lt;&gt;"")</formula>
    </cfRule>
    <cfRule type="expression" dxfId="104" priority="1152" stopIfTrue="1">
      <formula>AND(OR($B46="COMPOSICAO",$B46="INSUMO",$B46&lt;&gt;""),$B46&lt;&gt;"")</formula>
    </cfRule>
  </conditionalFormatting>
  <conditionalFormatting sqref="G46:H46">
    <cfRule type="expression" dxfId="103" priority="1149" stopIfTrue="1">
      <formula>AND($B46&lt;&gt;"COMPOSICAO",$B46&lt;&gt;"INSUMO",$B46&lt;&gt;"")</formula>
    </cfRule>
    <cfRule type="expression" dxfId="102" priority="1150" stopIfTrue="1">
      <formula>AND(OR($B46="COMPOSICAO",$B46="INSUMO",$B46&lt;&gt;""),$B46&lt;&gt;"")</formula>
    </cfRule>
  </conditionalFormatting>
  <conditionalFormatting sqref="B48:B49 D47:F49">
    <cfRule type="expression" dxfId="101" priority="1145" stopIfTrue="1">
      <formula>AND($A47&lt;&gt;"COMPOSICAO",$A47&lt;&gt;"INSUMO",$A47&lt;&gt;"")</formula>
    </cfRule>
    <cfRule type="expression" dxfId="100" priority="1146" stopIfTrue="1">
      <formula>AND(OR($A47="COMPOSICAO",$A47="INSUMO",$A47&lt;&gt;""),$A47&lt;&gt;"")</formula>
    </cfRule>
  </conditionalFormatting>
  <conditionalFormatting sqref="D47:D49">
    <cfRule type="expression" dxfId="99" priority="1143" stopIfTrue="1">
      <formula>AND($A47&lt;&gt;"COMPOSICAO",$A47&lt;&gt;"INSUMO",$A47&lt;&gt;"")</formula>
    </cfRule>
    <cfRule type="expression" dxfId="98" priority="1144" stopIfTrue="1">
      <formula>AND(OR($A47="COMPOSICAO",$A47="INSUMO",$A47&lt;&gt;""),$A47&lt;&gt;"")</formula>
    </cfRule>
  </conditionalFormatting>
  <conditionalFormatting sqref="E47:E49">
    <cfRule type="expression" dxfId="97" priority="1141" stopIfTrue="1">
      <formula>AND($A47&lt;&gt;"COMPOSICAO",$A47&lt;&gt;"INSUMO",$A47&lt;&gt;"")</formula>
    </cfRule>
    <cfRule type="expression" dxfId="96" priority="1142" stopIfTrue="1">
      <formula>AND(OR($A47="COMPOSICAO",$A47="INSUMO",$A47&lt;&gt;""),$A47&lt;&gt;"")</formula>
    </cfRule>
  </conditionalFormatting>
  <conditionalFormatting sqref="F47:F49">
    <cfRule type="expression" dxfId="95" priority="1139" stopIfTrue="1">
      <formula>AND($A47&lt;&gt;"COMPOSICAO",$A47&lt;&gt;"INSUMO",$A47&lt;&gt;"")</formula>
    </cfRule>
    <cfRule type="expression" dxfId="94" priority="1140" stopIfTrue="1">
      <formula>AND(OR($A47="COMPOSICAO",$A47="INSUMO",$A47&lt;&gt;""),$A47&lt;&gt;"")</formula>
    </cfRule>
  </conditionalFormatting>
  <conditionalFormatting sqref="I46:J46">
    <cfRule type="expression" dxfId="93" priority="1137" stopIfTrue="1">
      <formula>AND($B46&lt;&gt;"COMPOSICAO",$B46&lt;&gt;"INSUMO",$B46&lt;&gt;"")</formula>
    </cfRule>
    <cfRule type="expression" dxfId="92" priority="1138" stopIfTrue="1">
      <formula>AND(OR($B46="COMPOSICAO",$B46="INSUMO",$B46&lt;&gt;""),$B46&lt;&gt;"")</formula>
    </cfRule>
  </conditionalFormatting>
  <conditionalFormatting sqref="B47">
    <cfRule type="expression" dxfId="91" priority="1135" stopIfTrue="1">
      <formula>AND($A47&lt;&gt;"COMPOSICAO",$A47&lt;&gt;"INSUMO",$A47&lt;&gt;"")</formula>
    </cfRule>
    <cfRule type="expression" dxfId="90" priority="1136" stopIfTrue="1">
      <formula>AND(OR($A47="COMPOSICAO",$A47="INSUMO",$A47&lt;&gt;""),$A47&lt;&gt;"")</formula>
    </cfRule>
  </conditionalFormatting>
  <conditionalFormatting sqref="E46">
    <cfRule type="expression" dxfId="89" priority="1133" stopIfTrue="1">
      <formula>AND($B46&lt;&gt;"COMPOSICAO",$B46&lt;&gt;"INSUMO",$B46&lt;&gt;"")</formula>
    </cfRule>
    <cfRule type="expression" dxfId="88" priority="1134" stopIfTrue="1">
      <formula>AND(OR($B46="COMPOSICAO",$B46="INSUMO",$B46&lt;&gt;""),$B46&lt;&gt;"")</formula>
    </cfRule>
  </conditionalFormatting>
  <conditionalFormatting sqref="D237:F237 B237">
    <cfRule type="expression" dxfId="87" priority="1123" stopIfTrue="1">
      <formula>AND($A237&lt;&gt;"COMPOSICAO",$A237&lt;&gt;"INSUMO",$A237&lt;&gt;"")</formula>
    </cfRule>
    <cfRule type="expression" dxfId="86" priority="1124" stopIfTrue="1">
      <formula>AND(OR($A237="COMPOSICAO",$A237="INSUMO",$A237&lt;&gt;""),$A237&lt;&gt;"")</formula>
    </cfRule>
  </conditionalFormatting>
  <conditionalFormatting sqref="C237:F237">
    <cfRule type="expression" dxfId="85" priority="1121" stopIfTrue="1">
      <formula>AND($A237&lt;&gt;"COMPOSICAO",$A237&lt;&gt;"INSUMO",$A237&lt;&gt;"")</formula>
    </cfRule>
    <cfRule type="expression" dxfId="84" priority="1122" stopIfTrue="1">
      <formula>AND(OR($A237="COMPOSICAO",$A237="INSUMO",$A237&lt;&gt;""),$A237&lt;&gt;"")</formula>
    </cfRule>
  </conditionalFormatting>
  <conditionalFormatting sqref="B236:D236 F236">
    <cfRule type="expression" dxfId="83" priority="1119" stopIfTrue="1">
      <formula>AND($B236&lt;&gt;"COMPOSICAO",$B236&lt;&gt;"INSUMO",$B236&lt;&gt;"")</formula>
    </cfRule>
    <cfRule type="expression" dxfId="82" priority="1120" stopIfTrue="1">
      <formula>AND(OR($B236="COMPOSICAO",$B236="INSUMO",$B236&lt;&gt;""),$B236&lt;&gt;"")</formula>
    </cfRule>
  </conditionalFormatting>
  <conditionalFormatting sqref="K236">
    <cfRule type="expression" dxfId="81" priority="1115" stopIfTrue="1">
      <formula>AND($B236&lt;&gt;"COMPOSICAO",$B236&lt;&gt;"INSUMO",$B236&lt;&gt;"")</formula>
    </cfRule>
    <cfRule type="expression" dxfId="80" priority="1116" stopIfTrue="1">
      <formula>AND(OR($B236="COMPOSICAO",$B236="INSUMO",$B236&lt;&gt;""),$B236&lt;&gt;"")</formula>
    </cfRule>
  </conditionalFormatting>
  <conditionalFormatting sqref="G236:H236">
    <cfRule type="expression" dxfId="79" priority="1117" stopIfTrue="1">
      <formula>AND($B236&lt;&gt;"COMPOSICAO",$B236&lt;&gt;"INSUMO",$B236&lt;&gt;"")</formula>
    </cfRule>
    <cfRule type="expression" dxfId="78" priority="1118" stopIfTrue="1">
      <formula>AND(OR($B236="COMPOSICAO",$B236="INSUMO",$B236&lt;&gt;""),$B236&lt;&gt;"")</formula>
    </cfRule>
  </conditionalFormatting>
  <conditionalFormatting sqref="I236:J236">
    <cfRule type="expression" dxfId="77" priority="1113" stopIfTrue="1">
      <formula>AND($B236&lt;&gt;"COMPOSICAO",$B236&lt;&gt;"INSUMO",$B236&lt;&gt;"")</formula>
    </cfRule>
    <cfRule type="expression" dxfId="76" priority="1114" stopIfTrue="1">
      <formula>AND(OR($B236="COMPOSICAO",$B236="INSUMO",$B236&lt;&gt;""),$B236&lt;&gt;"")</formula>
    </cfRule>
  </conditionalFormatting>
  <conditionalFormatting sqref="E236">
    <cfRule type="expression" dxfId="75" priority="1111" stopIfTrue="1">
      <formula>AND($B236&lt;&gt;"COMPOSICAO",$B236&lt;&gt;"INSUMO",$B236&lt;&gt;"")</formula>
    </cfRule>
    <cfRule type="expression" dxfId="74" priority="1112" stopIfTrue="1">
      <formula>AND(OR($B236="COMPOSICAO",$B236="INSUMO",$B236&lt;&gt;""),$B236&lt;&gt;"")</formula>
    </cfRule>
  </conditionalFormatting>
  <conditionalFormatting sqref="E238">
    <cfRule type="expression" dxfId="73" priority="1105" stopIfTrue="1">
      <formula>AND($A238&lt;&gt;"COMPOSICAO",$A238&lt;&gt;"INSUMO",$A238&lt;&gt;"")</formula>
    </cfRule>
    <cfRule type="expression" dxfId="72" priority="1106" stopIfTrue="1">
      <formula>AND(OR($A238="COMPOSICAO",$A238="INSUMO",$A238&lt;&gt;""),$A238&lt;&gt;"")</formula>
    </cfRule>
  </conditionalFormatting>
  <conditionalFormatting sqref="D238 B238">
    <cfRule type="expression" dxfId="71" priority="1109" stopIfTrue="1">
      <formula>AND($A238&lt;&gt;"COMPOSICAO",$A238&lt;&gt;"INSUMO",$A238&lt;&gt;"")</formula>
    </cfRule>
    <cfRule type="expression" dxfId="70" priority="1110" stopIfTrue="1">
      <formula>AND(OR($A238="COMPOSICAO",$A238="INSUMO",$A238&lt;&gt;""),$A238&lt;&gt;"")</formula>
    </cfRule>
  </conditionalFormatting>
  <conditionalFormatting sqref="C238:D238">
    <cfRule type="expression" dxfId="69" priority="1107" stopIfTrue="1">
      <formula>AND($A238&lt;&gt;"COMPOSICAO",$A238&lt;&gt;"INSUMO",$A238&lt;&gt;"")</formula>
    </cfRule>
    <cfRule type="expression" dxfId="68" priority="1108" stopIfTrue="1">
      <formula>AND(OR($A238="COMPOSICAO",$A238="INSUMO",$A238&lt;&gt;""),$A238&lt;&gt;"")</formula>
    </cfRule>
  </conditionalFormatting>
  <conditionalFormatting sqref="E238">
    <cfRule type="expression" dxfId="67" priority="1103" stopIfTrue="1">
      <formula>AND($A238&lt;&gt;"COMPOSICAO",$A238&lt;&gt;"INSUMO",$A238&lt;&gt;"")</formula>
    </cfRule>
    <cfRule type="expression" dxfId="66" priority="1104" stopIfTrue="1">
      <formula>AND(OR($A238="COMPOSICAO",$A238="INSUMO",$A238&lt;&gt;""),$A238&lt;&gt;"")</formula>
    </cfRule>
  </conditionalFormatting>
  <conditionalFormatting sqref="F238">
    <cfRule type="expression" dxfId="65" priority="1101" stopIfTrue="1">
      <formula>AND($A238&lt;&gt;"COMPOSICAO",$A238&lt;&gt;"INSUMO",$A238&lt;&gt;"")</formula>
    </cfRule>
    <cfRule type="expression" dxfId="64" priority="1102" stopIfTrue="1">
      <formula>AND(OR($A238="COMPOSICAO",$A238="INSUMO",$A238&lt;&gt;""),$A238&lt;&gt;"")</formula>
    </cfRule>
  </conditionalFormatting>
  <conditionalFormatting sqref="F238">
    <cfRule type="expression" dxfId="63" priority="1099" stopIfTrue="1">
      <formula>AND($A238&lt;&gt;"COMPOSICAO",$A238&lt;&gt;"INSUMO",$A238&lt;&gt;"")</formula>
    </cfRule>
    <cfRule type="expression" dxfId="62" priority="1100" stopIfTrue="1">
      <formula>AND(OR($A238="COMPOSICAO",$A238="INSUMO",$A238&lt;&gt;""),$A238&lt;&gt;"")</formula>
    </cfRule>
  </conditionalFormatting>
  <conditionalFormatting sqref="H193">
    <cfRule type="expression" dxfId="61" priority="39" stopIfTrue="1">
      <formula>AND($B193&lt;&gt;"COMPOSICAO",$B193&lt;&gt;"INSUMO",$B193&lt;&gt;"")</formula>
    </cfRule>
    <cfRule type="expression" dxfId="60" priority="40" stopIfTrue="1">
      <formula>AND(OR($B193="COMPOSICAO",$B193="INSUMO",$B193&lt;&gt;""),$B193&lt;&gt;"")</formula>
    </cfRule>
  </conditionalFormatting>
  <conditionalFormatting sqref="B189:G189">
    <cfRule type="expression" dxfId="59" priority="53" stopIfTrue="1">
      <formula>AND($B189&lt;&gt;"COMPOSICAO",$B189&lt;&gt;"INSUMO",$B189&lt;&gt;"")</formula>
    </cfRule>
    <cfRule type="expression" dxfId="58" priority="54" stopIfTrue="1">
      <formula>AND(OR($B189="COMPOSICAO",$B189="INSUMO",$B189&lt;&gt;""),$B189&lt;&gt;"")</formula>
    </cfRule>
  </conditionalFormatting>
  <conditionalFormatting sqref="H189">
    <cfRule type="expression" dxfId="57" priority="51" stopIfTrue="1">
      <formula>AND($B189&lt;&gt;"COMPOSICAO",$B189&lt;&gt;"INSUMO",$B189&lt;&gt;"")</formula>
    </cfRule>
    <cfRule type="expression" dxfId="56" priority="52" stopIfTrue="1">
      <formula>AND(OR($B189="COMPOSICAO",$B189="INSUMO",$B189&lt;&gt;""),$B189&lt;&gt;"")</formula>
    </cfRule>
  </conditionalFormatting>
  <conditionalFormatting sqref="J189">
    <cfRule type="expression" dxfId="55" priority="47" stopIfTrue="1">
      <formula>AND($B189&lt;&gt;"COMPOSICAO",$B189&lt;&gt;"INSUMO",$B189&lt;&gt;"")</formula>
    </cfRule>
    <cfRule type="expression" dxfId="54" priority="48" stopIfTrue="1">
      <formula>AND(OR($B189="COMPOSICAO",$B189="INSUMO",$B189&lt;&gt;""),$B189&lt;&gt;"")</formula>
    </cfRule>
  </conditionalFormatting>
  <conditionalFormatting sqref="I189">
    <cfRule type="expression" dxfId="53" priority="49" stopIfTrue="1">
      <formula>AND($B189&lt;&gt;"COMPOSICAO",$B189&lt;&gt;"INSUMO",$B189&lt;&gt;"")</formula>
    </cfRule>
    <cfRule type="expression" dxfId="52" priority="50" stopIfTrue="1">
      <formula>AND(OR($B189="COMPOSICAO",$B189="INSUMO",$B189&lt;&gt;""),$B189&lt;&gt;"")</formula>
    </cfRule>
  </conditionalFormatting>
  <conditionalFormatting sqref="K189">
    <cfRule type="expression" dxfId="51" priority="45" stopIfTrue="1">
      <formula>AND($B189&lt;&gt;"COMPOSICAO",$B189&lt;&gt;"INSUMO",$B189&lt;&gt;"")</formula>
    </cfRule>
    <cfRule type="expression" dxfId="50" priority="46" stopIfTrue="1">
      <formula>AND(OR($B189="COMPOSICAO",$B189="INSUMO",$B189&lt;&gt;""),$B189&lt;&gt;"")</formula>
    </cfRule>
  </conditionalFormatting>
  <conditionalFormatting sqref="H200">
    <cfRule type="expression" dxfId="49" priority="43" stopIfTrue="1">
      <formula>AND($B200&lt;&gt;"COMPOSICAO",$B200&lt;&gt;"INSUMO",$B200&lt;&gt;"")</formula>
    </cfRule>
    <cfRule type="expression" dxfId="48" priority="44" stopIfTrue="1">
      <formula>AND(OR($B200="COMPOSICAO",$B200="INSUMO",$B200&lt;&gt;""),$B200&lt;&gt;"")</formula>
    </cfRule>
  </conditionalFormatting>
  <conditionalFormatting sqref="D199">
    <cfRule type="expression" dxfId="47" priority="41" stopIfTrue="1">
      <formula>AND($B199&lt;&gt;"COMPOSICAO",$B199&lt;&gt;"INSUMO",$B199&lt;&gt;"")</formula>
    </cfRule>
    <cfRule type="expression" dxfId="46" priority="42" stopIfTrue="1">
      <formula>AND(OR($B199="COMPOSICAO",$B199="INSUMO",$B199&lt;&gt;""),$B199&lt;&gt;"")</formula>
    </cfRule>
  </conditionalFormatting>
  <conditionalFormatting sqref="I246">
    <cfRule type="expression" dxfId="45" priority="23" stopIfTrue="1">
      <formula>AND($B246&lt;&gt;"COMPOSICAO",$B246&lt;&gt;"INSUMO",$B246&lt;&gt;"")</formula>
    </cfRule>
    <cfRule type="expression" dxfId="44" priority="24" stopIfTrue="1">
      <formula>AND(OR($B246="COMPOSICAO",$B246="INSUMO",$B246&lt;&gt;""),$B246&lt;&gt;"")</formula>
    </cfRule>
  </conditionalFormatting>
  <conditionalFormatting sqref="D192">
    <cfRule type="expression" dxfId="43" priority="37" stopIfTrue="1">
      <formula>AND($B192&lt;&gt;"COMPOSICAO",$B192&lt;&gt;"INSUMO",$B192&lt;&gt;"")</formula>
    </cfRule>
    <cfRule type="expression" dxfId="42" priority="38" stopIfTrue="1">
      <formula>AND(OR($B192="COMPOSICAO",$B192="INSUMO",$B192&lt;&gt;""),$B192&lt;&gt;"")</formula>
    </cfRule>
  </conditionalFormatting>
  <conditionalFormatting sqref="C200:F200">
    <cfRule type="expression" dxfId="41" priority="35" stopIfTrue="1">
      <formula>AND($A200&lt;&gt;"COMPOSICAO",$A200&lt;&gt;"INSUMO",$A200&lt;&gt;"")</formula>
    </cfRule>
    <cfRule type="expression" dxfId="40" priority="36" stopIfTrue="1">
      <formula>AND(OR($A200="COMPOSICAO",$A200="INSUMO",$A200&lt;&gt;""),$A200&lt;&gt;"")</formula>
    </cfRule>
  </conditionalFormatting>
  <conditionalFormatting sqref="C193:F193">
    <cfRule type="expression" dxfId="39" priority="33" stopIfTrue="1">
      <formula>AND($A193&lt;&gt;"COMPOSICAO",$A193&lt;&gt;"INSUMO",$A193&lt;&gt;"")</formula>
    </cfRule>
    <cfRule type="expression" dxfId="38" priority="34" stopIfTrue="1">
      <formula>AND(OR($A193="COMPOSICAO",$A193="INSUMO",$A193&lt;&gt;""),$A193&lt;&gt;"")</formula>
    </cfRule>
  </conditionalFormatting>
  <conditionalFormatting sqref="C182:F182">
    <cfRule type="expression" dxfId="37" priority="31" stopIfTrue="1">
      <formula>AND($A182&lt;&gt;"COMPOSICAO",$A182&lt;&gt;"INSUMO",$A182&lt;&gt;"")</formula>
    </cfRule>
    <cfRule type="expression" dxfId="36" priority="32" stopIfTrue="1">
      <formula>AND(OR($A182="COMPOSICAO",$A182="INSUMO",$A182&lt;&gt;""),$A182&lt;&gt;"")</formula>
    </cfRule>
  </conditionalFormatting>
  <conditionalFormatting sqref="B246:C246">
    <cfRule type="expression" dxfId="35" priority="29" stopIfTrue="1">
      <formula>AND($B246&lt;&gt;"COMPOSICAO",$B246&lt;&gt;"INSUMO",$B246&lt;&gt;"")</formula>
    </cfRule>
    <cfRule type="expression" dxfId="34" priority="30" stopIfTrue="1">
      <formula>AND(OR($B246="COMPOSICAO",$B246="INSUMO",$B246&lt;&gt;""),$B246&lt;&gt;"")</formula>
    </cfRule>
  </conditionalFormatting>
  <conditionalFormatting sqref="D246">
    <cfRule type="expression" dxfId="33" priority="27" stopIfTrue="1">
      <formula>AND($B246&lt;&gt;"COMPOSICAO",$B246&lt;&gt;"INSUMO",$B246&lt;&gt;"")</formula>
    </cfRule>
    <cfRule type="expression" dxfId="32" priority="28" stopIfTrue="1">
      <formula>AND(OR($B246="COMPOSICAO",$B246="INSUMO",$B246&lt;&gt;""),$B246&lt;&gt;"")</formula>
    </cfRule>
  </conditionalFormatting>
  <conditionalFormatting sqref="E246:H246">
    <cfRule type="expression" dxfId="31" priority="25" stopIfTrue="1">
      <formula>AND($B246&lt;&gt;"COMPOSICAO",$B246&lt;&gt;"INSUMO",$B246&lt;&gt;"")</formula>
    </cfRule>
    <cfRule type="expression" dxfId="30" priority="26" stopIfTrue="1">
      <formula>AND(OR($B246="COMPOSICAO",$B246="INSUMO",$B246&lt;&gt;""),$B246&lt;&gt;"")</formula>
    </cfRule>
  </conditionalFormatting>
  <conditionalFormatting sqref="J246">
    <cfRule type="expression" dxfId="29" priority="21" stopIfTrue="1">
      <formula>AND($B246&lt;&gt;"COMPOSICAO",$B246&lt;&gt;"INSUMO",$B246&lt;&gt;"")</formula>
    </cfRule>
    <cfRule type="expression" dxfId="28" priority="22" stopIfTrue="1">
      <formula>AND(OR($B246="COMPOSICAO",$B246="INSUMO",$B246&lt;&gt;""),$B246&lt;&gt;"")</formula>
    </cfRule>
  </conditionalFormatting>
  <conditionalFormatting sqref="K249">
    <cfRule type="dataBar" priority="2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{9CDA75AD-FBEF-4FF7-B271-ABA01A0914B7}</x14:id>
        </ext>
      </extLst>
    </cfRule>
  </conditionalFormatting>
  <conditionalFormatting sqref="K250">
    <cfRule type="dataBar" priority="1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{3C99E1E2-B9CC-448B-9403-8792589EFEEF}</x14:id>
        </ext>
      </extLst>
    </cfRule>
  </conditionalFormatting>
  <conditionalFormatting sqref="K246">
    <cfRule type="expression" dxfId="27" priority="17" stopIfTrue="1">
      <formula>AND($B246&lt;&gt;"COMPOSICAO",$B246&lt;&gt;"INSUMO",$B246&lt;&gt;"")</formula>
    </cfRule>
    <cfRule type="expression" dxfId="26" priority="18" stopIfTrue="1">
      <formula>AND(OR($B246="COMPOSICAO",$B246="INSUMO",$B246&lt;&gt;""),$B246&lt;&gt;"")</formula>
    </cfRule>
  </conditionalFormatting>
  <conditionalFormatting sqref="H256">
    <cfRule type="expression" dxfId="25" priority="5" stopIfTrue="1">
      <formula>AND($B256&lt;&gt;"COMPOSICAO",$B256&lt;&gt;"INSUMO",$B256&lt;&gt;"")</formula>
    </cfRule>
    <cfRule type="expression" dxfId="24" priority="6" stopIfTrue="1">
      <formula>AND(OR($B256="COMPOSICAO",$B256="INSUMO",$B256&lt;&gt;""),$B256&lt;&gt;"")</formula>
    </cfRule>
  </conditionalFormatting>
  <conditionalFormatting sqref="B252:G252">
    <cfRule type="expression" dxfId="23" priority="15" stopIfTrue="1">
      <formula>AND($B252&lt;&gt;"COMPOSICAO",$B252&lt;&gt;"INSUMO",$B252&lt;&gt;"")</formula>
    </cfRule>
    <cfRule type="expression" dxfId="22" priority="16" stopIfTrue="1">
      <formula>AND(OR($B252="COMPOSICAO",$B252="INSUMO",$B252&lt;&gt;""),$B252&lt;&gt;"")</formula>
    </cfRule>
  </conditionalFormatting>
  <conditionalFormatting sqref="H252">
    <cfRule type="expression" dxfId="21" priority="13" stopIfTrue="1">
      <formula>AND($B252&lt;&gt;"COMPOSICAO",$B252&lt;&gt;"INSUMO",$B252&lt;&gt;"")</formula>
    </cfRule>
    <cfRule type="expression" dxfId="20" priority="14" stopIfTrue="1">
      <formula>AND(OR($B252="COMPOSICAO",$B252="INSUMO",$B252&lt;&gt;""),$B252&lt;&gt;"")</formula>
    </cfRule>
  </conditionalFormatting>
  <conditionalFormatting sqref="J252">
    <cfRule type="expression" dxfId="19" priority="9" stopIfTrue="1">
      <formula>AND($B252&lt;&gt;"COMPOSICAO",$B252&lt;&gt;"INSUMO",$B252&lt;&gt;"")</formula>
    </cfRule>
    <cfRule type="expression" dxfId="18" priority="10" stopIfTrue="1">
      <formula>AND(OR($B252="COMPOSICAO",$B252="INSUMO",$B252&lt;&gt;""),$B252&lt;&gt;"")</formula>
    </cfRule>
  </conditionalFormatting>
  <conditionalFormatting sqref="I252">
    <cfRule type="expression" dxfId="17" priority="11" stopIfTrue="1">
      <formula>AND($B252&lt;&gt;"COMPOSICAO",$B252&lt;&gt;"INSUMO",$B252&lt;&gt;"")</formula>
    </cfRule>
    <cfRule type="expression" dxfId="16" priority="12" stopIfTrue="1">
      <formula>AND(OR($B252="COMPOSICAO",$B252="INSUMO",$B252&lt;&gt;""),$B252&lt;&gt;"")</formula>
    </cfRule>
  </conditionalFormatting>
  <conditionalFormatting sqref="K252">
    <cfRule type="expression" dxfId="15" priority="7" stopIfTrue="1">
      <formula>AND($B252&lt;&gt;"COMPOSICAO",$B252&lt;&gt;"INSUMO",$B252&lt;&gt;"")</formula>
    </cfRule>
    <cfRule type="expression" dxfId="14" priority="8" stopIfTrue="1">
      <formula>AND(OR($B252="COMPOSICAO",$B252="INSUMO",$B252&lt;&gt;""),$B252&lt;&gt;"")</formula>
    </cfRule>
  </conditionalFormatting>
  <conditionalFormatting sqref="D255">
    <cfRule type="expression" dxfId="13" priority="3" stopIfTrue="1">
      <formula>AND($B255&lt;&gt;"COMPOSICAO",$B255&lt;&gt;"INSUMO",$B255&lt;&gt;"")</formula>
    </cfRule>
    <cfRule type="expression" dxfId="12" priority="4" stopIfTrue="1">
      <formula>AND(OR($B255="COMPOSICAO",$B255="INSUMO",$B255&lt;&gt;""),$B255&lt;&gt;"")</formula>
    </cfRule>
  </conditionalFormatting>
  <conditionalFormatting sqref="C256:F256">
    <cfRule type="expression" dxfId="11" priority="1" stopIfTrue="1">
      <formula>AND($A256&lt;&gt;"COMPOSICAO",$A256&lt;&gt;"INSUMO",$A256&lt;&gt;"")</formula>
    </cfRule>
    <cfRule type="expression" dxfId="10" priority="2" stopIfTrue="1">
      <formula>AND(OR($A256="COMPOSICAO",$A256="INSUMO",$A256&lt;&gt;""),$A256&lt;&gt;"")</formula>
    </cfRule>
  </conditionalFormatting>
  <printOptions gridLines="1"/>
  <pageMargins left="0.98425196850393704" right="1.7716535433070868" top="1.1811023622047245" bottom="0.78740157480314965" header="0.31496062992125984" footer="0.31496062992125984"/>
  <pageSetup paperSize="9" scale="70" orientation="landscape" r:id="rId1"/>
  <headerFooter>
    <oddFooter>&amp;RPágina &amp;P de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72582-8AF6-4CA2-AC23-D42FF1F2F4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K114:K115 K132 K121</xm:sqref>
        </x14:conditionalFormatting>
        <x14:conditionalFormatting xmlns:xm="http://schemas.microsoft.com/office/excel/2006/main">
          <x14:cfRule type="dataBar" id="{CF91BB9B-C6E4-4106-84CD-8CA1E0C224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K142</xm:sqref>
        </x14:conditionalFormatting>
        <x14:conditionalFormatting xmlns:xm="http://schemas.microsoft.com/office/excel/2006/main">
          <x14:cfRule type="dataBar" id="{C71A746E-60E7-4915-A005-8CD5C92B72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K143</xm:sqref>
        </x14:conditionalFormatting>
        <x14:conditionalFormatting xmlns:xm="http://schemas.microsoft.com/office/excel/2006/main">
          <x14:cfRule type="dataBar" id="{9EF2D7A3-C78B-4DB3-9442-770BBA6229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</xm:sqref>
        </x14:conditionalFormatting>
        <x14:conditionalFormatting xmlns:xm="http://schemas.microsoft.com/office/excel/2006/main">
          <x14:cfRule type="dataBar" id="{2AE48288-11F5-4EFA-BCF6-3612A080EF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K149</xm:sqref>
        </x14:conditionalFormatting>
        <x14:conditionalFormatting xmlns:xm="http://schemas.microsoft.com/office/excel/2006/main">
          <x14:cfRule type="dataBar" id="{6CAB6A5A-60B6-46D9-8DBD-3D02F8C2F1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K154</xm:sqref>
        </x14:conditionalFormatting>
        <x14:conditionalFormatting xmlns:xm="http://schemas.microsoft.com/office/excel/2006/main">
          <x14:cfRule type="dataBar" id="{E854C594-7DED-4988-845C-88D94F4FBB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K155</xm:sqref>
        </x14:conditionalFormatting>
        <x14:conditionalFormatting xmlns:xm="http://schemas.microsoft.com/office/excel/2006/main">
          <x14:cfRule type="dataBar" id="{713F645D-3961-492A-93C0-D5E1F89C67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A98C0781-6B07-4924-9F03-9CD3F945BF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F62BC3D0-0D7F-4638-B8FB-D7E845D839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K166</xm:sqref>
        </x14:conditionalFormatting>
        <x14:conditionalFormatting xmlns:xm="http://schemas.microsoft.com/office/excel/2006/main">
          <x14:cfRule type="dataBar" id="{8A1EB7F3-4C9B-42FA-B2BD-1C15D1094D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K167</xm:sqref>
        </x14:conditionalFormatting>
        <x14:conditionalFormatting xmlns:xm="http://schemas.microsoft.com/office/excel/2006/main">
          <x14:cfRule type="dataBar" id="{734B4F2A-DA03-4895-BD73-89FC9D30E1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K172</xm:sqref>
        </x14:conditionalFormatting>
        <x14:conditionalFormatting xmlns:xm="http://schemas.microsoft.com/office/excel/2006/main">
          <x14:cfRule type="dataBar" id="{A886D591-9398-4599-B09E-DEB7801E41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K173</xm:sqref>
        </x14:conditionalFormatting>
        <x14:conditionalFormatting xmlns:xm="http://schemas.microsoft.com/office/excel/2006/main">
          <x14:cfRule type="dataBar" id="{B2371971-251D-424D-898B-4555E51470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</xm:sqref>
        </x14:conditionalFormatting>
        <x14:conditionalFormatting xmlns:xm="http://schemas.microsoft.com/office/excel/2006/main">
          <x14:cfRule type="dataBar" id="{DECB309D-0CAD-44F6-878B-7E91C9D8D9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4DBC998F-B964-42A9-BE6C-567CC413BD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K120</xm:sqref>
        </x14:conditionalFormatting>
        <x14:conditionalFormatting xmlns:xm="http://schemas.microsoft.com/office/excel/2006/main">
          <x14:cfRule type="dataBar" id="{9CDA75AD-FBEF-4FF7-B271-ABA01A0914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K249</xm:sqref>
        </x14:conditionalFormatting>
        <x14:conditionalFormatting xmlns:xm="http://schemas.microsoft.com/office/excel/2006/main">
          <x14:cfRule type="dataBar" id="{3C99E1E2-B9CC-448B-9403-8792589EFE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opLeftCell="A13" workbookViewId="0">
      <selection activeCell="A34" sqref="A34:B36"/>
    </sheetView>
  </sheetViews>
  <sheetFormatPr defaultColWidth="9.140625" defaultRowHeight="12.75"/>
  <cols>
    <col min="1" max="1" width="9.5703125" style="1" customWidth="1"/>
    <col min="2" max="2" width="29.5703125" style="1" customWidth="1"/>
    <col min="3" max="3" width="9.140625" style="1"/>
    <col min="4" max="4" width="10" style="1" customWidth="1"/>
    <col min="5" max="5" width="11.140625" style="1" customWidth="1"/>
    <col min="6" max="6" width="10.5703125" style="1" customWidth="1"/>
    <col min="7" max="7" width="10.140625" style="1" customWidth="1"/>
    <col min="8" max="16384" width="9.140625" style="1"/>
  </cols>
  <sheetData>
    <row r="1" spans="1:8" ht="15">
      <c r="A1" s="316"/>
      <c r="B1" s="317"/>
      <c r="C1" s="317"/>
      <c r="D1" s="317"/>
      <c r="E1" s="317"/>
      <c r="F1" s="317"/>
      <c r="G1" s="318"/>
    </row>
    <row r="2" spans="1:8" ht="25.15" customHeight="1">
      <c r="A2" s="370" t="s">
        <v>319</v>
      </c>
      <c r="B2" s="371"/>
      <c r="C2" s="371"/>
      <c r="D2" s="371"/>
      <c r="E2" s="371"/>
      <c r="F2" s="371"/>
      <c r="G2" s="403"/>
    </row>
    <row r="3" spans="1:8">
      <c r="A3" s="370" t="s">
        <v>320</v>
      </c>
      <c r="B3" s="371"/>
      <c r="C3" s="371"/>
      <c r="D3" s="371"/>
      <c r="E3" s="371"/>
      <c r="F3" s="371"/>
      <c r="G3" s="403"/>
    </row>
    <row r="4" spans="1:8">
      <c r="A4" s="433" t="s">
        <v>321</v>
      </c>
      <c r="B4" s="434"/>
      <c r="C4" s="434"/>
      <c r="D4" s="434"/>
      <c r="E4" s="434"/>
      <c r="F4" s="434"/>
      <c r="G4" s="435"/>
    </row>
    <row r="5" spans="1:8" ht="15" customHeight="1">
      <c r="A5" s="319"/>
      <c r="B5" s="4"/>
      <c r="C5" s="4"/>
      <c r="D5" s="4"/>
      <c r="E5" s="4"/>
      <c r="F5" s="4"/>
      <c r="G5" s="320"/>
    </row>
    <row r="6" spans="1:8" ht="18.75">
      <c r="A6" s="407" t="s">
        <v>2</v>
      </c>
      <c r="B6" s="408"/>
      <c r="C6" s="408"/>
      <c r="D6" s="408"/>
      <c r="E6" s="408"/>
      <c r="F6" s="408"/>
      <c r="G6" s="409"/>
    </row>
    <row r="7" spans="1:8" ht="13.5" thickBot="1">
      <c r="A7" s="427"/>
      <c r="B7" s="428"/>
      <c r="C7" s="428"/>
      <c r="D7" s="428"/>
      <c r="E7" s="428"/>
      <c r="F7" s="428"/>
      <c r="G7" s="429"/>
    </row>
    <row r="8" spans="1:8" ht="26.45" customHeight="1">
      <c r="A8" s="5" t="s">
        <v>38</v>
      </c>
      <c r="B8" s="6" t="s">
        <v>39</v>
      </c>
      <c r="C8" s="430" t="s">
        <v>40</v>
      </c>
      <c r="D8" s="431"/>
      <c r="E8" s="7" t="s">
        <v>41</v>
      </c>
      <c r="F8" s="430" t="s">
        <v>42</v>
      </c>
      <c r="G8" s="432"/>
    </row>
    <row r="9" spans="1:8">
      <c r="A9" s="8"/>
      <c r="B9" s="9" t="s">
        <v>43</v>
      </c>
      <c r="C9" s="421">
        <v>0</v>
      </c>
      <c r="D9" s="422"/>
      <c r="E9" s="10">
        <v>0.4</v>
      </c>
      <c r="F9" s="421">
        <v>0.42</v>
      </c>
      <c r="G9" s="423"/>
    </row>
    <row r="10" spans="1:8">
      <c r="A10" s="8"/>
      <c r="B10" s="9" t="s">
        <v>44</v>
      </c>
      <c r="C10" s="421">
        <v>0</v>
      </c>
      <c r="D10" s="422"/>
      <c r="E10" s="10">
        <v>1.5</v>
      </c>
      <c r="F10" s="421">
        <v>2.0499999999999998</v>
      </c>
      <c r="G10" s="423"/>
      <c r="H10" s="1">
        <v>0.97</v>
      </c>
    </row>
    <row r="11" spans="1:8" ht="13.5" thickBot="1">
      <c r="A11" s="11" t="s">
        <v>45</v>
      </c>
      <c r="B11" s="12" t="s">
        <v>46</v>
      </c>
      <c r="C11" s="424">
        <f>SUM(D9:D10)</f>
        <v>0</v>
      </c>
      <c r="D11" s="425"/>
      <c r="E11" s="13">
        <f>SUM(E9:E10)</f>
        <v>1.9</v>
      </c>
      <c r="F11" s="424">
        <f>SUM(F9:G10)</f>
        <v>2.4699999999999998</v>
      </c>
      <c r="G11" s="426"/>
    </row>
    <row r="12" spans="1:8" ht="13.5" thickBot="1">
      <c r="A12" s="14" t="s">
        <v>47</v>
      </c>
      <c r="B12" s="15" t="s">
        <v>48</v>
      </c>
      <c r="C12" s="410">
        <v>0</v>
      </c>
      <c r="D12" s="411"/>
      <c r="E12" s="16">
        <v>0.8</v>
      </c>
      <c r="F12" s="410">
        <v>1.2</v>
      </c>
      <c r="G12" s="415"/>
      <c r="H12" s="1">
        <v>0.59</v>
      </c>
    </row>
    <row r="13" spans="1:8" ht="13.5" thickBot="1">
      <c r="A13" s="14" t="s">
        <v>49</v>
      </c>
      <c r="B13" s="15" t="s">
        <v>50</v>
      </c>
      <c r="C13" s="410">
        <v>0.11</v>
      </c>
      <c r="D13" s="411"/>
      <c r="E13" s="17">
        <v>4.5999999999999996</v>
      </c>
      <c r="F13" s="412">
        <v>8.0299999999999994</v>
      </c>
      <c r="G13" s="413"/>
      <c r="H13" s="1">
        <v>4.28</v>
      </c>
    </row>
    <row r="14" spans="1:8" ht="13.5" thickBot="1">
      <c r="A14" s="14" t="s">
        <v>51</v>
      </c>
      <c r="B14" s="15" t="s">
        <v>52</v>
      </c>
      <c r="C14" s="410">
        <v>3.83</v>
      </c>
      <c r="D14" s="414"/>
      <c r="E14" s="18">
        <v>6.28</v>
      </c>
      <c r="F14" s="414">
        <v>9.9600000000000009</v>
      </c>
      <c r="G14" s="415"/>
      <c r="H14" s="1">
        <v>6.62</v>
      </c>
    </row>
    <row r="15" spans="1:8" ht="13.5" thickBot="1">
      <c r="A15" s="19"/>
      <c r="B15" s="20" t="s">
        <v>53</v>
      </c>
      <c r="C15" s="21" t="s">
        <v>54</v>
      </c>
      <c r="D15" s="22" t="s">
        <v>55</v>
      </c>
      <c r="E15" s="23"/>
      <c r="F15" s="21" t="s">
        <v>54</v>
      </c>
      <c r="G15" s="24" t="s">
        <v>55</v>
      </c>
    </row>
    <row r="16" spans="1:8">
      <c r="A16" s="25"/>
      <c r="B16" s="26" t="s">
        <v>56</v>
      </c>
      <c r="C16" s="27">
        <v>0</v>
      </c>
      <c r="D16" s="27">
        <v>0.65</v>
      </c>
      <c r="E16" s="28">
        <v>0.65</v>
      </c>
      <c r="F16" s="27">
        <v>0.56999999999999995</v>
      </c>
      <c r="G16" s="29">
        <v>0.65</v>
      </c>
    </row>
    <row r="17" spans="1:8">
      <c r="A17" s="8"/>
      <c r="B17" s="9" t="s">
        <v>57</v>
      </c>
      <c r="C17" s="30">
        <v>1.28</v>
      </c>
      <c r="D17" s="30">
        <v>3</v>
      </c>
      <c r="E17" s="10">
        <v>3</v>
      </c>
      <c r="F17" s="30">
        <v>2.63</v>
      </c>
      <c r="G17" s="31">
        <v>3</v>
      </c>
    </row>
    <row r="18" spans="1:8">
      <c r="A18" s="8"/>
      <c r="B18" s="9" t="s">
        <v>58</v>
      </c>
      <c r="C18" s="30">
        <v>2</v>
      </c>
      <c r="D18" s="30">
        <v>2</v>
      </c>
      <c r="E18" s="32">
        <v>5</v>
      </c>
      <c r="F18" s="30">
        <v>5</v>
      </c>
      <c r="G18" s="31">
        <v>5</v>
      </c>
    </row>
    <row r="19" spans="1:8" ht="13.5" thickBot="1">
      <c r="A19" s="11" t="s">
        <v>59</v>
      </c>
      <c r="B19" s="12" t="s">
        <v>60</v>
      </c>
      <c r="C19" s="33">
        <f>SUM(C16:C18)</f>
        <v>3.2800000000000002</v>
      </c>
      <c r="D19" s="33">
        <f>SUM(D16:D18)</f>
        <v>5.65</v>
      </c>
      <c r="E19" s="34">
        <f>SUM(E16:E18)</f>
        <v>8.65</v>
      </c>
      <c r="F19" s="33">
        <f>SUM(F16:F18)</f>
        <v>8.1999999999999993</v>
      </c>
      <c r="G19" s="35">
        <f>SUM(G16:G18)</f>
        <v>8.65</v>
      </c>
      <c r="H19" s="1">
        <v>7.65</v>
      </c>
    </row>
    <row r="20" spans="1:8" ht="13.5" thickBot="1">
      <c r="A20" s="416" t="s">
        <v>61</v>
      </c>
      <c r="B20" s="417"/>
      <c r="C20" s="36"/>
      <c r="D20" s="37"/>
      <c r="E20" s="38">
        <f>ROUND(((1+E13/100)*(1+E12/100)*(1+E11/100)*(1+E14/100)/(1-E19/100)-1)*100,2)/100</f>
        <v>0.25</v>
      </c>
      <c r="F20" s="39"/>
      <c r="G20" s="40"/>
    </row>
    <row r="21" spans="1:8">
      <c r="A21" s="418"/>
      <c r="B21" s="419"/>
      <c r="C21" s="419"/>
      <c r="D21" s="419"/>
      <c r="E21" s="419"/>
      <c r="F21" s="419"/>
      <c r="G21" s="420"/>
    </row>
    <row r="22" spans="1:8" ht="24.75" customHeight="1">
      <c r="A22" s="404" t="s">
        <v>36</v>
      </c>
      <c r="B22" s="405"/>
      <c r="C22" s="405"/>
      <c r="D22" s="405"/>
      <c r="E22" s="405"/>
      <c r="F22" s="405"/>
      <c r="G22" s="406"/>
    </row>
    <row r="23" spans="1:8">
      <c r="A23" s="41"/>
      <c r="B23" s="42"/>
      <c r="C23" s="42"/>
      <c r="D23" s="43"/>
      <c r="E23" s="43"/>
      <c r="F23" s="42"/>
      <c r="G23" s="44"/>
    </row>
    <row r="24" spans="1:8">
      <c r="A24" s="41"/>
      <c r="B24" s="42"/>
      <c r="C24" s="42"/>
      <c r="D24" s="43"/>
      <c r="E24" s="43"/>
      <c r="F24" s="42"/>
      <c r="G24" s="44"/>
    </row>
    <row r="25" spans="1:8">
      <c r="A25" s="41"/>
      <c r="B25" s="42"/>
      <c r="C25" s="42"/>
      <c r="D25" s="43"/>
      <c r="E25" s="43"/>
      <c r="F25" s="42"/>
      <c r="G25" s="44"/>
    </row>
    <row r="26" spans="1:8">
      <c r="A26" s="41"/>
      <c r="B26" s="42"/>
      <c r="C26" s="42"/>
      <c r="D26" s="43"/>
      <c r="E26" s="43"/>
      <c r="F26" s="42"/>
      <c r="G26" s="44"/>
    </row>
    <row r="27" spans="1:8">
      <c r="A27" s="45"/>
      <c r="B27" s="46" t="s">
        <v>62</v>
      </c>
      <c r="C27" s="42"/>
      <c r="D27" s="43"/>
      <c r="E27" s="43"/>
      <c r="F27" s="42"/>
      <c r="G27" s="44"/>
    </row>
    <row r="28" spans="1:8">
      <c r="A28" s="45"/>
      <c r="B28" s="47" t="s">
        <v>203</v>
      </c>
      <c r="C28" s="42"/>
      <c r="D28" s="43"/>
      <c r="E28" s="43"/>
      <c r="F28" s="42"/>
      <c r="G28" s="44"/>
    </row>
    <row r="29" spans="1:8">
      <c r="A29" s="45"/>
      <c r="B29" s="47" t="s">
        <v>204</v>
      </c>
      <c r="C29" s="42"/>
      <c r="D29" s="43"/>
      <c r="E29" s="43"/>
      <c r="F29" s="42"/>
      <c r="G29" s="44"/>
    </row>
    <row r="30" spans="1:8">
      <c r="A30" s="45"/>
      <c r="B30" s="47" t="s">
        <v>205</v>
      </c>
      <c r="C30" s="42"/>
      <c r="D30" s="43"/>
      <c r="E30" s="43"/>
      <c r="F30" s="42"/>
      <c r="G30" s="44"/>
    </row>
    <row r="31" spans="1:8">
      <c r="A31" s="45"/>
      <c r="B31" s="47" t="s">
        <v>206</v>
      </c>
      <c r="C31" s="42"/>
      <c r="D31" s="43"/>
      <c r="E31" s="43"/>
      <c r="F31" s="42"/>
      <c r="G31" s="44"/>
    </row>
    <row r="32" spans="1:8">
      <c r="A32" s="45"/>
      <c r="B32" s="47" t="s">
        <v>207</v>
      </c>
      <c r="C32" s="42"/>
      <c r="D32" s="43"/>
      <c r="E32" s="43"/>
      <c r="F32" s="42"/>
      <c r="G32" s="44"/>
    </row>
    <row r="33" spans="1:7">
      <c r="A33" s="48"/>
      <c r="B33" s="49"/>
      <c r="C33" s="50"/>
      <c r="D33" s="51"/>
      <c r="E33" s="51"/>
      <c r="F33" s="50"/>
      <c r="G33" s="52"/>
    </row>
    <row r="34" spans="1:7">
      <c r="A34" s="216" t="s">
        <v>356</v>
      </c>
      <c r="B34" s="217"/>
    </row>
    <row r="35" spans="1:7">
      <c r="A35" s="216" t="s">
        <v>357</v>
      </c>
      <c r="B35" s="217"/>
    </row>
    <row r="36" spans="1:7">
      <c r="A36" s="224" t="s">
        <v>358</v>
      </c>
      <c r="B36" s="225"/>
    </row>
  </sheetData>
  <mergeCells count="22">
    <mergeCell ref="C8:D8"/>
    <mergeCell ref="F8:G8"/>
    <mergeCell ref="C9:D9"/>
    <mergeCell ref="F9:G9"/>
    <mergeCell ref="A3:G3"/>
    <mergeCell ref="A4:G4"/>
    <mergeCell ref="A2:G2"/>
    <mergeCell ref="A22:G22"/>
    <mergeCell ref="A6:G6"/>
    <mergeCell ref="C13:D13"/>
    <mergeCell ref="F13:G13"/>
    <mergeCell ref="C14:D14"/>
    <mergeCell ref="F14:G14"/>
    <mergeCell ref="A20:B20"/>
    <mergeCell ref="A21:G21"/>
    <mergeCell ref="C10:D10"/>
    <mergeCell ref="F10:G10"/>
    <mergeCell ref="C11:D11"/>
    <mergeCell ref="F11:G11"/>
    <mergeCell ref="C12:D12"/>
    <mergeCell ref="F12:G12"/>
    <mergeCell ref="A7:G7"/>
  </mergeCells>
  <conditionalFormatting sqref="E15:E19">
    <cfRule type="cellIs" dxfId="9" priority="19" stopIfTrue="1" operator="greaterThan">
      <formula>G15</formula>
    </cfRule>
    <cfRule type="cellIs" dxfId="8" priority="20" stopIfTrue="1" operator="lessThan">
      <formula>C15</formula>
    </cfRule>
  </conditionalFormatting>
  <conditionalFormatting sqref="E9:E14">
    <cfRule type="cellIs" dxfId="7" priority="17" stopIfTrue="1" operator="greaterThan">
      <formula>F9</formula>
    </cfRule>
    <cfRule type="cellIs" dxfId="6" priority="18" stopIfTrue="1" operator="lessThan">
      <formula>C9</formula>
    </cfRule>
  </conditionalFormatting>
  <conditionalFormatting sqref="E20">
    <cfRule type="cellIs" dxfId="5" priority="15" stopIfTrue="1" operator="greaterThan">
      <formula>30</formula>
    </cfRule>
    <cfRule type="cellIs" dxfId="4" priority="16" stopIfTrue="1" operator="lessThan">
      <formula>0</formula>
    </cfRule>
  </conditionalFormatting>
  <conditionalFormatting sqref="E12">
    <cfRule type="cellIs" dxfId="3" priority="13" stopIfTrue="1" operator="greaterThan">
      <formula>$F$13</formula>
    </cfRule>
    <cfRule type="cellIs" dxfId="2" priority="14" stopIfTrue="1" operator="lessThan">
      <formula>$C$13</formula>
    </cfRule>
  </conditionalFormatting>
  <conditionalFormatting sqref="E10">
    <cfRule type="cellIs" dxfId="1" priority="11" stopIfTrue="1" operator="greaterThan">
      <formula>$F$11</formula>
    </cfRule>
    <cfRule type="cellIs" dxfId="0" priority="12" stopIfTrue="1" operator="lessThan">
      <formula>$C$11</formula>
    </cfRule>
  </conditionalFormatting>
  <printOptions horizontalCentered="1" gridLines="1"/>
  <pageMargins left="0.78740157480314965" right="0.78740157480314965" top="1.9685039370078741" bottom="0.78740157480314965" header="0.31496062992125984" footer="0.31496062992125984"/>
  <pageSetup paperSize="9" scale="95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CRONOGRAMA</vt:lpstr>
      <vt:lpstr>PLANILHA ORÇAMENTÁRIA</vt:lpstr>
      <vt:lpstr>COMPOSIÇÃO</vt:lpstr>
      <vt:lpstr>BDI</vt:lpstr>
      <vt:lpstr>BDI!Area_de_impressao</vt:lpstr>
      <vt:lpstr>COMPOSIÇÃO!Area_de_impressao</vt:lpstr>
      <vt:lpstr>CRONOGRAMA!Area_de_impressao</vt:lpstr>
      <vt:lpstr>'PLANILHA ORÇAMENTÁRIA'!Area_de_impressao</vt:lpstr>
      <vt:lpstr>BDI!Titulos_de_impressao</vt:lpstr>
      <vt:lpstr>COMPOSIÇÃO!Titulos_de_impressao</vt:lpstr>
      <vt:lpstr>CRONOGRAMA!Titulos_de_impressao</vt:lpstr>
      <vt:lpstr>'PLANILHA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Mirna</cp:lastModifiedBy>
  <cp:lastPrinted>2017-07-03T15:53:12Z</cp:lastPrinted>
  <dcterms:created xsi:type="dcterms:W3CDTF">2003-03-13T20:31:18Z</dcterms:created>
  <dcterms:modified xsi:type="dcterms:W3CDTF">2017-08-03T17:45:15Z</dcterms:modified>
</cp:coreProperties>
</file>